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9435" windowHeight="4080" tabRatio="598" firstSheet="2" activeTab="2"/>
  </bookViews>
  <sheets>
    <sheet name="Properties" sheetId="1" state="hidden" r:id="rId1"/>
    <sheet name="Functions" sheetId="2" state="hidden" r:id="rId2"/>
    <sheet name="elorekeveres" sheetId="3" r:id="rId3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<sst xmlns="http://schemas.openxmlformats.org/spreadsheetml/2006/main" count="631" uniqueCount="316">
  <si>
    <t>v2.6</t>
  </si>
  <si>
    <t>* Error in valid region for function tc_ptrho</t>
  </si>
  <si>
    <t>Prandtl</t>
  </si>
  <si>
    <t>Pressure as a function of h and rho (density). Very unaccurate for solid water region since it's almost incompressible!</t>
  </si>
  <si>
    <t>News in V2.2</t>
  </si>
  <si>
    <t>* Function p_hrho added. (Very good for calcualting pressure when heating a volume with water/steam mixture.)</t>
  </si>
  <si>
    <t>* Fixed error in Cp_ph</t>
  </si>
  <si>
    <t>Dynamic Viscosity</t>
  </si>
  <si>
    <t>Calcualted as Cp*my/tc</t>
  </si>
  <si>
    <t>* Prandtl number added</t>
  </si>
  <si>
    <t>* Extensive testing</t>
  </si>
  <si>
    <t>-</t>
  </si>
  <si>
    <t>Version history</t>
  </si>
  <si>
    <t>* Fixed error in T_hs return no value for vet region bellow the water saturation line.</t>
  </si>
  <si>
    <t>News in V2.3</t>
  </si>
  <si>
    <t>* my_ph not defined in region 4.</t>
  </si>
  <si>
    <t>* Problems at region border for h4V_p to adress solver problems at the exact border.</t>
  </si>
  <si>
    <t>* Option Explicit, gives more efficient calculations.</t>
  </si>
  <si>
    <t>* Problem at fast border check in region_ph fixed.</t>
  </si>
  <si>
    <t>News in V2.4</t>
  </si>
  <si>
    <t>* Matlab error giving varaible undefined in some backwards solutions fixed.</t>
  </si>
  <si>
    <t xml:space="preserve"> p_hrho</t>
  </si>
  <si>
    <t xml:space="preserve"> p_hs</t>
  </si>
  <si>
    <t xml:space="preserve"> psat_T</t>
  </si>
  <si>
    <t xml:space="preserve"> T_hs</t>
  </si>
  <si>
    <t xml:space="preserve"> T_ph</t>
  </si>
  <si>
    <t xml:space="preserve"> Tsat_p</t>
  </si>
  <si>
    <t xml:space="preserve"> T_ps</t>
  </si>
  <si>
    <t xml:space="preserve"> hV_p</t>
  </si>
  <si>
    <t xml:space="preserve"> hL_p</t>
  </si>
  <si>
    <t xml:space="preserve"> hV_T</t>
  </si>
  <si>
    <t xml:space="preserve"> hL_T</t>
  </si>
  <si>
    <t xml:space="preserve"> h_pT</t>
  </si>
  <si>
    <t xml:space="preserve"> h_ps</t>
  </si>
  <si>
    <t xml:space="preserve"> h_px</t>
  </si>
  <si>
    <t xml:space="preserve"> h_Tx</t>
  </si>
  <si>
    <t xml:space="preserve"> h_prho</t>
  </si>
  <si>
    <t xml:space="preserve"> vV_p</t>
  </si>
  <si>
    <t xml:space="preserve"> vL_p</t>
  </si>
  <si>
    <t xml:space="preserve"> vV_T</t>
  </si>
  <si>
    <t xml:space="preserve"> vL_T</t>
  </si>
  <si>
    <t xml:space="preserve"> v_pT</t>
  </si>
  <si>
    <t xml:space="preserve"> v_ph</t>
  </si>
  <si>
    <t xml:space="preserve"> v_ps</t>
  </si>
  <si>
    <t xml:space="preserve"> rhoV_p</t>
  </si>
  <si>
    <t xml:space="preserve"> rhoL_p</t>
  </si>
  <si>
    <t xml:space="preserve"> rhoV_T</t>
  </si>
  <si>
    <t xml:space="preserve"> rhoL_T</t>
  </si>
  <si>
    <t xml:space="preserve"> rho_pT</t>
  </si>
  <si>
    <t xml:space="preserve"> rho_ph</t>
  </si>
  <si>
    <t xml:space="preserve"> rho_ps</t>
  </si>
  <si>
    <t xml:space="preserve"> sV_p</t>
  </si>
  <si>
    <t xml:space="preserve"> sL_p</t>
  </si>
  <si>
    <t xml:space="preserve"> sV_T</t>
  </si>
  <si>
    <t xml:space="preserve"> sL_T</t>
  </si>
  <si>
    <t xml:space="preserve"> s_pT</t>
  </si>
  <si>
    <t xml:space="preserve"> s_ph</t>
  </si>
  <si>
    <t xml:space="preserve"> uV_p</t>
  </si>
  <si>
    <t xml:space="preserve"> uL_p</t>
  </si>
  <si>
    <t xml:space="preserve"> uV_T</t>
  </si>
  <si>
    <t xml:space="preserve"> uL_T</t>
  </si>
  <si>
    <t xml:space="preserve"> u_pT</t>
  </si>
  <si>
    <t xml:space="preserve"> u_ph</t>
  </si>
  <si>
    <t xml:space="preserve"> u_ps</t>
  </si>
  <si>
    <t xml:space="preserve"> CpV_p</t>
  </si>
  <si>
    <t xml:space="preserve"> CpL_p</t>
  </si>
  <si>
    <t xml:space="preserve"> CpV_T</t>
  </si>
  <si>
    <t xml:space="preserve"> CpL_T</t>
  </si>
  <si>
    <t xml:space="preserve"> Cp_pT</t>
  </si>
  <si>
    <t xml:space="preserve"> Cp_ph</t>
  </si>
  <si>
    <t xml:space="preserve"> Cp_ps</t>
  </si>
  <si>
    <t xml:space="preserve"> CvV_p</t>
  </si>
  <si>
    <t xml:space="preserve"> CvL_p</t>
  </si>
  <si>
    <t xml:space="preserve"> CvV_T</t>
  </si>
  <si>
    <t xml:space="preserve"> CvL_T</t>
  </si>
  <si>
    <t xml:space="preserve"> Cv_pT</t>
  </si>
  <si>
    <t xml:space="preserve"> Cv_ph</t>
  </si>
  <si>
    <t xml:space="preserve"> Cv_ps</t>
  </si>
  <si>
    <t xml:space="preserve"> wV_p</t>
  </si>
  <si>
    <t xml:space="preserve"> wL_p</t>
  </si>
  <si>
    <t xml:space="preserve"> wV_T</t>
  </si>
  <si>
    <t xml:space="preserve"> wL_T</t>
  </si>
  <si>
    <t xml:space="preserve"> w_pT</t>
  </si>
  <si>
    <t xml:space="preserve"> w_ph</t>
  </si>
  <si>
    <t xml:space="preserve"> w_ps</t>
  </si>
  <si>
    <t xml:space="preserve"> my_pT</t>
  </si>
  <si>
    <t xml:space="preserve"> my_ph</t>
  </si>
  <si>
    <t xml:space="preserve"> my_ps</t>
  </si>
  <si>
    <t xml:space="preserve"> pr_pT</t>
  </si>
  <si>
    <t xml:space="preserve"> pr_ph</t>
  </si>
  <si>
    <t xml:space="preserve"> tcL_p</t>
  </si>
  <si>
    <t xml:space="preserve"> tcV_p</t>
  </si>
  <si>
    <t xml:space="preserve"> tcL_T</t>
  </si>
  <si>
    <t xml:space="preserve"> tcV_T</t>
  </si>
  <si>
    <t xml:space="preserve"> tc_pT</t>
  </si>
  <si>
    <t xml:space="preserve"> tc_ph</t>
  </si>
  <si>
    <t xml:space="preserve"> tc_hs</t>
  </si>
  <si>
    <t xml:space="preserve"> st_T</t>
  </si>
  <si>
    <t xml:space="preserve"> st_p</t>
  </si>
  <si>
    <t xml:space="preserve"> x_ph</t>
  </si>
  <si>
    <t xml:space="preserve"> x_ps</t>
  </si>
  <si>
    <t xml:space="preserve"> vx_ph</t>
  </si>
  <si>
    <t xml:space="preserve"> vx_ps</t>
  </si>
  <si>
    <t>* OpenOffice version introduced. (Fixed calculation differences in open office and excel)</t>
  </si>
  <si>
    <t>* Many missing ; in matlab causing printouts detected.</t>
  </si>
  <si>
    <t>* Functions by p,rho inplemented in matlab also.</t>
  </si>
  <si>
    <t>News in V2.4a</t>
  </si>
  <si>
    <t>* ToSIUnit for h_ps region 4. (No effect in SI unit version).</t>
  </si>
  <si>
    <t>* Fixed small error in Cv Region 5 p&gt;1000bar</t>
  </si>
  <si>
    <t>News in V2.5</t>
  </si>
  <si>
    <t>* Freebasic translation</t>
  </si>
  <si>
    <t>* DLL distrubution for use in other applications</t>
  </si>
  <si>
    <t>* Error in function h3_pt for temperatures near the saturation point.</t>
  </si>
  <si>
    <t>News in V2.6</t>
  </si>
  <si>
    <t>Speed of sound as a function of pressure and entropy.</t>
  </si>
  <si>
    <t>Viscosity as a function of pressure and temperature.</t>
  </si>
  <si>
    <t>Viscosity as a function of pressure and enthalpy</t>
  </si>
  <si>
    <t>Viscosity as a function of pressure and entropy.</t>
  </si>
  <si>
    <t>Vapour fraction as a function of pressure and enthalpy</t>
  </si>
  <si>
    <t>Vapour fraction as a function of pressure and entropy.</t>
  </si>
  <si>
    <t>Vapour volume fraction as a function of pressure and enthalpy</t>
  </si>
  <si>
    <t>Vapour volume fraction as a function of pressure and entropy.</t>
  </si>
  <si>
    <t>* Calling functions of h and s added.</t>
  </si>
  <si>
    <t>* Calling functions h_px and h_tx added.</t>
  </si>
  <si>
    <t>* Cp, Cv and w undefined in the mixed region. (Before interpolation with the vapor fraction was used.)</t>
  </si>
  <si>
    <t>* A work sheet "Properties" for simple lookups added.</t>
  </si>
  <si>
    <t>Vapour Volume Fraction</t>
  </si>
  <si>
    <t>Viscosity is not part of IAPWS Steam IF97. Equations from "Revised Release on the IAPWS Formulation 1985 for the Viscosity of Ordinary Water Substance", 2003 are used.</t>
  </si>
  <si>
    <t>Specific entropy as a function of pressure and temperature (Returns saturated vapour entalpy if mixture.)</t>
  </si>
  <si>
    <t>Thermal Conductivity</t>
  </si>
  <si>
    <t>Revised release on the IAPS Formulation 1985 for the Thermal Conductivity of ordinary water substance (IAPWS 1998)</t>
  </si>
  <si>
    <t>W/(m K)</t>
  </si>
  <si>
    <t>Saturated vapour thermal conductivity</t>
  </si>
  <si>
    <t>Saturated liquid thermal conductivity</t>
  </si>
  <si>
    <t>Thermal conductivity as a function of pressure and temperature.</t>
  </si>
  <si>
    <t>Thermal conductivity as a function of pressure and enthalpy</t>
  </si>
  <si>
    <t>Thermal conductivity as a function of enthalpy and entropy</t>
  </si>
  <si>
    <t>Surface Tension</t>
  </si>
  <si>
    <t>IAPWS Release on Surface Tension of Ordinary Water Substance, September 1994</t>
  </si>
  <si>
    <t>N/m</t>
  </si>
  <si>
    <t>* Thermal conductivity, Surface tension added</t>
  </si>
  <si>
    <t>Surface tension for two phase water/steam as a function of T</t>
  </si>
  <si>
    <t>The excel scripts are stored inside this workbook. (No extra files are needed. Start from a copy of this workbook. This page can be removed)</t>
  </si>
  <si>
    <t>For error-reporting, feedback, other units etc. contact:</t>
  </si>
  <si>
    <t>Entalpy as a function of pressure and density. Observe for low temperatures (liquid) this equation has 2 solutions. (Not valid!!)</t>
  </si>
  <si>
    <t xml:space="preserve">Excel macros, IF-97 Steam tables. </t>
  </si>
  <si>
    <t>The excel scripts are stored inside this workbook. A complete list of functions for use is available on the "Calling functions" worksheet</t>
  </si>
  <si>
    <t>By: Magnus Holmgren</t>
  </si>
  <si>
    <t>www.x-eng.com</t>
  </si>
  <si>
    <t>Saturation properties given temperature</t>
  </si>
  <si>
    <t>Saturation properties given pressure</t>
  </si>
  <si>
    <t>bar a</t>
  </si>
  <si>
    <t>Liquid</t>
  </si>
  <si>
    <t>Entropy</t>
  </si>
  <si>
    <t>Vapour</t>
  </si>
  <si>
    <t>Vapour enthalpy</t>
  </si>
  <si>
    <t>Vapour density</t>
  </si>
  <si>
    <t>Vapour Entropy</t>
  </si>
  <si>
    <t>vapour Entropy</t>
  </si>
  <si>
    <t>Evaporation energy</t>
  </si>
  <si>
    <t>Properties given pressure and temperature</t>
  </si>
  <si>
    <t>Properties given pressure and enthalpy</t>
  </si>
  <si>
    <t>IF97 Region</t>
  </si>
  <si>
    <t>Phase</t>
  </si>
  <si>
    <t xml:space="preserve">Isobaric heat capacity </t>
  </si>
  <si>
    <t>Speed of sound</t>
  </si>
  <si>
    <t>* Calling function h_prho</t>
  </si>
  <si>
    <t>* Fixed problem with Cv reporting NaN in region 5.</t>
  </si>
  <si>
    <t>* Equivivalent to the Matlab version. (Downloadable from www.x-eng.com)</t>
  </si>
  <si>
    <t>News in V2</t>
  </si>
  <si>
    <t>News in V2.1</t>
  </si>
  <si>
    <t>kJ/kg</t>
  </si>
  <si>
    <t>m3/kg</t>
  </si>
  <si>
    <t>kJ/(kg K)</t>
  </si>
  <si>
    <t>m/s</t>
  </si>
  <si>
    <t>Enthalpy</t>
  </si>
  <si>
    <t>Temperature</t>
  </si>
  <si>
    <t>kg/m3</t>
  </si>
  <si>
    <t>bar</t>
  </si>
  <si>
    <t>°C</t>
  </si>
  <si>
    <t xml:space="preserve">Specific entropy </t>
  </si>
  <si>
    <t>Density</t>
  </si>
  <si>
    <t xml:space="preserve">Specific internal energy </t>
  </si>
  <si>
    <t xml:space="preserve">Specific isobaric heat capacity </t>
  </si>
  <si>
    <t xml:space="preserve">Speed of sound </t>
  </si>
  <si>
    <t xml:space="preserve">Specific isochoric heat capacity </t>
  </si>
  <si>
    <t>Pressure</t>
  </si>
  <si>
    <t>Saturation temperature</t>
  </si>
  <si>
    <t>Saturation pressure</t>
  </si>
  <si>
    <t>Specific volume</t>
  </si>
  <si>
    <t>Saturated vapour enthalpy</t>
  </si>
  <si>
    <t>Saturated vapour volume</t>
  </si>
  <si>
    <t>Saturated vapour density</t>
  </si>
  <si>
    <t>Saturated vapour entropy</t>
  </si>
  <si>
    <t>Saturated vapour internal energy</t>
  </si>
  <si>
    <t>Saturated liquid enthalpy</t>
  </si>
  <si>
    <t>Saturated liquid volume</t>
  </si>
  <si>
    <t>Saturated liquid density</t>
  </si>
  <si>
    <t>Saturated liquid entropy</t>
  </si>
  <si>
    <t>Saturated liquid internal energy</t>
  </si>
  <si>
    <t xml:space="preserve">Saturated liquid heat capacity </t>
  </si>
  <si>
    <t xml:space="preserve">Saturated vapour heat capacity </t>
  </si>
  <si>
    <t>Saturated liquid isochoric heat capacity</t>
  </si>
  <si>
    <t>Saturated vapour isochoric heat capacity</t>
  </si>
  <si>
    <t>Saturated liquid speed of sound</t>
  </si>
  <si>
    <t>Saturated vapour speed of sound</t>
  </si>
  <si>
    <t>Vapour fraction</t>
  </si>
  <si>
    <t>Pa s</t>
  </si>
  <si>
    <t>%</t>
  </si>
  <si>
    <t>gets close to the accurancy of steam IF-97</t>
  </si>
  <si>
    <t>Viscosity in the mixed region (4) is interpolated according to the density. This is not true since it will be two fases.</t>
  </si>
  <si>
    <t>OBS: This workbook uses macros. Set security options in Tools:Macro:Security… to enable macros.</t>
  </si>
  <si>
    <t>Temperture as a function of pressure and enthalpy</t>
  </si>
  <si>
    <t>Temperture as a function of pressure and entropy</t>
  </si>
  <si>
    <t>Entalpy as a function of pressure and temperature.</t>
  </si>
  <si>
    <t>Entalpy as a function of pressure and entropy.</t>
  </si>
  <si>
    <t>Observe that vapour volume fraction is very sensitive. Vapour volume is about 1000 times greater than liquid volume and therfore vapour volume fraction</t>
  </si>
  <si>
    <t>The steam tables are free and provided as is. We take no responsibilities for any errors in the code or damage thereby.</t>
  </si>
  <si>
    <t>kJ/kgK</t>
  </si>
  <si>
    <t>X Steam Tables</t>
  </si>
  <si>
    <t>http://www.x-eng.com</t>
  </si>
  <si>
    <t xml:space="preserve">Steam tables by Magnus Holmgren according to IAPWS IF-97 </t>
  </si>
  <si>
    <t xml:space="preserve">Pressure as a function of h and s. </t>
  </si>
  <si>
    <t>magnus@x-eng.com</t>
  </si>
  <si>
    <t>kJ/(kg°C)</t>
  </si>
  <si>
    <t>Entalpy as a function of pressure and vapour fraction</t>
  </si>
  <si>
    <t>Entalpy as a function of temperature and vapour fraction</t>
  </si>
  <si>
    <t>Temperture as a function of enthalpy and entropy</t>
  </si>
  <si>
    <t>Specific volume as a function of pressure and temperature.</t>
  </si>
  <si>
    <t>Specific volume as a function of pressure and enthalpy</t>
  </si>
  <si>
    <t>Specific volume as a function of pressure and entropy.</t>
  </si>
  <si>
    <t>Density as a function of pressure and temperature.</t>
  </si>
  <si>
    <t>Density as a function of pressure and enthalpy</t>
  </si>
  <si>
    <t>Density as a function of pressure and entropy.</t>
  </si>
  <si>
    <t>Specific entropy as a function of pressure and enthalpy</t>
  </si>
  <si>
    <t>Specific internal energy as a function of pressure and temperature.</t>
  </si>
  <si>
    <t>Specific internal energy as a function of pressure and enthalpy</t>
  </si>
  <si>
    <t>Specific internal energy as a function of pressure and entropy.</t>
  </si>
  <si>
    <t>Specific isobaric heat capacity as a function of pressure and temperature.</t>
  </si>
  <si>
    <t>Specific isobaric heat capacity as a function of pressure and enthalpy</t>
  </si>
  <si>
    <t>Specific isobaric heat capacity as a function of pressure and entropy.</t>
  </si>
  <si>
    <t>Specific isochoric heat capacity as a function of pressure and temperature.</t>
  </si>
  <si>
    <t>Specific isochoric heat capacity as a function of pressure and enthalpy</t>
  </si>
  <si>
    <t>Specific isochoric heat capacity as a function of pressure and entropy.</t>
  </si>
  <si>
    <t>Speed of sound as a function of pressure and temperature.</t>
  </si>
  <si>
    <t>Speed of sound as a function of pressure and enthalpy</t>
  </si>
  <si>
    <t>Jellemzők</t>
  </si>
  <si>
    <t>p, bar</t>
  </si>
  <si>
    <t>t, °C</t>
  </si>
  <si>
    <t>h, kJ/kg</t>
  </si>
  <si>
    <t>s, kJ/(kgK)</t>
  </si>
  <si>
    <t>m, kg/s</t>
  </si>
  <si>
    <t>-----</t>
  </si>
  <si>
    <t>Elvi optimumok:</t>
  </si>
  <si>
    <t>mértani</t>
  </si>
  <si>
    <t>számtani</t>
  </si>
  <si>
    <t>Feladat:</t>
  </si>
  <si>
    <t>Keressük meg az optimális fokozatbeszotást!</t>
  </si>
  <si>
    <t>t3</t>
  </si>
  <si>
    <t>t8</t>
  </si>
  <si>
    <t>p8</t>
  </si>
  <si>
    <t>Tsat_max</t>
  </si>
  <si>
    <t>t8_valós</t>
  </si>
  <si>
    <t>t9</t>
  </si>
  <si>
    <t>p9</t>
  </si>
  <si>
    <t>t9_valós</t>
  </si>
  <si>
    <t>h9</t>
  </si>
  <si>
    <t>h12</t>
  </si>
  <si>
    <t>h13</t>
  </si>
  <si>
    <t>h8</t>
  </si>
  <si>
    <t>h10</t>
  </si>
  <si>
    <t>h11</t>
  </si>
  <si>
    <t>h3</t>
  </si>
  <si>
    <t>s3</t>
  </si>
  <si>
    <t>m8</t>
  </si>
  <si>
    <t>m9</t>
  </si>
  <si>
    <t>P_turbina</t>
  </si>
  <si>
    <t>Q_be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</si>
  <si>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Sirr_A</t>
    </r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</si>
  <si>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Sirr_B</t>
    </r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</si>
  <si>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Sirr_szum</t>
    </r>
  </si>
  <si>
    <t>Hatásfok</t>
  </si>
  <si>
    <t>kJ/kg/K</t>
  </si>
  <si>
    <t>kg/s</t>
  </si>
  <si>
    <t>MW</t>
  </si>
  <si>
    <t>kW/K</t>
  </si>
  <si>
    <t>t3b</t>
  </si>
  <si>
    <t>cp</t>
  </si>
  <si>
    <t>t4</t>
  </si>
  <si>
    <t>h4</t>
  </si>
  <si>
    <t>h3b</t>
  </si>
  <si>
    <t>ΔT_TH</t>
  </si>
  <si>
    <t>Φ</t>
  </si>
  <si>
    <t>s3b</t>
  </si>
  <si>
    <t>s10 = s11</t>
  </si>
  <si>
    <t>s4</t>
  </si>
  <si>
    <t>s12 = s13</t>
  </si>
  <si>
    <t>P_sziv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</si>
  <si>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Sirr_5</t>
    </r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</si>
  <si>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Sirr_3b</t>
    </r>
  </si>
  <si>
    <t>A, m2</t>
  </si>
  <si>
    <t>U, kW/m2/K</t>
  </si>
  <si>
    <t>"B" jelű előmelegítő</t>
  </si>
  <si>
    <t>"A" jelű előmelegítő</t>
  </si>
  <si>
    <t>Fajlagos entalpia</t>
  </si>
  <si>
    <t>Fajlagos entrópia</t>
  </si>
  <si>
    <t>Tömegáram</t>
  </si>
  <si>
    <t>Irreverzibilitás</t>
  </si>
  <si>
    <t>Feladat: Egy túlhevített gőzös, kondenzációs vízgőz-körfolyamatú erőmű kapcsolási vázlatát a mellékelt ábra, a körfolyamat egyes pontjaiban a munkaközeg paramétereit az alábbi táblázat mutatja. A turbinában végbemenő expanzió adiabatikus és reverzibilis. A körfolyamatban kétfokozatú tápvízelőmelegítést alkalmazunk felületi hőcserélők segítségével. A kapcsolási vázlaton feltüntetett szivattyúk reverzibilisek. Mennyiségi veszteségek nincsenek.</t>
  </si>
  <si>
    <t>Változtassuk a t3b hőmérsékletet, határozzuk meg a körfolyamat termikus hatásfokát és ábrázoljuk azt a t3b hőmérséklet függvényében!</t>
  </si>
  <si>
    <t>Határozzuk meg az ehhez a kapcsoláshoz tartozó fokozatbeosztási típus szerint legkedvezőbb közbenső hőmérsékletet és haszonlítsuk össze a
numerikusan meghatározott értékkel!
Határozzuk meg az egyes hőcserélőkben az irreverzibilitás miatt bekövetkező entrópiaáram-növekedést! Ábrázoljuk ezek összegét t3b függvényében!</t>
  </si>
  <si>
    <t>ITERATÍV MEGOLDÁSI MÓDSZER!!!</t>
  </si>
  <si>
    <t>Számítási beállítások: Manuális</t>
  </si>
  <si>
    <t>Iterációs kör (előrekeveréses hőcserélőre) számítási összefüggésekkel:</t>
  </si>
  <si>
    <t>A megoldandó egyenletrendszer:</t>
  </si>
  <si>
    <t>A "B" jelű hőcserélőre és utána következő keveredési pontra felírva az energiaegyenleteket hasonló iterációs kört kapunk.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</si>
</sst>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0.0000E+00"/>
    <numFmt numFmtId="185" formatCode="0.0"/>
    <numFmt numFmtId="186" formatCode="0.00000E+00"/>
    <numFmt numFmtId="187" formatCode="0.000000E+00"/>
    <numFmt numFmtId="188" formatCode="[$€-2]\ #,##0.00_);[Red]\([$€-2]\ #,##0.00\)"/>
    <numFmt numFmtId="189" formatCode="0.000"/>
    <numFmt numFmtId="190" formatCode="0.0000000"/>
    <numFmt numFmtId="191" formatCode="0.00000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0.0000000E+00"/>
    <numFmt numFmtId="196" formatCode="[$-40E]yyyy\.\ mmmm\ d\."/>
    <numFmt numFmtId="197" formatCode="0.0%"/>
    <numFmt numFmtId="198" formatCode="0.000%"/>
    <numFmt numFmtId="199" formatCode="0.0000%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sz val="14"/>
      <name val="Arial"/>
      <family val="2"/>
    </font>
    <font>
      <b/>
      <u val="single"/>
      <sz val="8"/>
      <color indexed="12"/>
      <name val="Arial"/>
      <family val="2"/>
    </font>
    <font>
      <b/>
      <i/>
      <sz val="12"/>
      <name val="Arial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3" fontId="1" fillId="0" borderId="0" xfId="0" applyNumberFormat="1" applyFont="1" applyAlignment="1">
      <alignment/>
    </xf>
    <xf numFmtId="0" fontId="5" fillId="0" borderId="0" xfId="0" applyFont="1" applyAlignment="1">
      <alignment/>
    </xf>
    <xf numFmtId="18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3" applyFont="1" applyAlignment="1" applyProtection="1">
      <alignment/>
      <protection/>
    </xf>
    <xf numFmtId="0" fontId="9" fillId="0" borderId="0" xfId="53" applyFont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0" xfId="0" applyFont="1" applyAlignment="1">
      <alignment/>
    </xf>
    <xf numFmtId="0" fontId="9" fillId="0" borderId="0" xfId="53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1" fillId="0" borderId="0" xfId="0" applyFont="1" applyFill="1" applyBorder="1" applyAlignment="1">
      <alignment/>
    </xf>
    <xf numFmtId="18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1" fillId="0" borderId="10" xfId="0" applyFont="1" applyFill="1" applyBorder="1" applyAlignment="1">
      <alignment/>
    </xf>
    <xf numFmtId="185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15" xfId="0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189" fontId="1" fillId="34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2" fontId="57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2" fontId="59" fillId="0" borderId="0" xfId="0" applyNumberFormat="1" applyFont="1" applyBorder="1" applyAlignment="1">
      <alignment horizontal="center" vertical="center" wrapText="1"/>
    </xf>
    <xf numFmtId="2" fontId="59" fillId="0" borderId="0" xfId="0" applyNumberFormat="1" applyFont="1" applyBorder="1" applyAlignment="1">
      <alignment horizontal="center" vertical="center"/>
    </xf>
    <xf numFmtId="185" fontId="57" fillId="0" borderId="0" xfId="0" applyNumberFormat="1" applyFont="1" applyBorder="1" applyAlignment="1">
      <alignment vertical="top" wrapText="1"/>
    </xf>
    <xf numFmtId="2" fontId="57" fillId="0" borderId="0" xfId="0" applyNumberFormat="1" applyFont="1" applyBorder="1" applyAlignment="1">
      <alignment vertical="top" wrapText="1"/>
    </xf>
    <xf numFmtId="2" fontId="57" fillId="0" borderId="0" xfId="0" applyNumberFormat="1" applyFont="1" applyBorder="1" applyAlignment="1">
      <alignment/>
    </xf>
    <xf numFmtId="2" fontId="57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57" fillId="0" borderId="0" xfId="0" applyFont="1" applyAlignment="1">
      <alignment/>
    </xf>
    <xf numFmtId="0" fontId="1" fillId="35" borderId="0" xfId="0" applyFont="1" applyFill="1" applyAlignment="1">
      <alignment/>
    </xf>
    <xf numFmtId="0" fontId="5" fillId="35" borderId="0" xfId="0" applyFont="1" applyFill="1" applyAlignment="1">
      <alignment horizontal="left" vertical="center"/>
    </xf>
    <xf numFmtId="2" fontId="60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0" fillId="35" borderId="0" xfId="0" applyFont="1" applyFill="1" applyAlignment="1">
      <alignment/>
    </xf>
    <xf numFmtId="10" fontId="57" fillId="0" borderId="0" xfId="59" applyNumberFormat="1" applyFont="1" applyAlignment="1">
      <alignment/>
    </xf>
    <xf numFmtId="0" fontId="1" fillId="35" borderId="0" xfId="0" applyFont="1" applyFill="1" applyAlignment="1">
      <alignment horizontal="center" vertical="center"/>
    </xf>
    <xf numFmtId="2" fontId="61" fillId="0" borderId="0" xfId="0" applyNumberFormat="1" applyFont="1" applyBorder="1" applyAlignment="1">
      <alignment horizontal="center" vertical="center" wrapText="1"/>
    </xf>
    <xf numFmtId="183" fontId="6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center" vertical="center" wrapText="1"/>
    </xf>
    <xf numFmtId="2" fontId="61" fillId="0" borderId="16" xfId="0" applyNumberFormat="1" applyFont="1" applyBorder="1" applyAlignment="1">
      <alignment horizontal="center" vertical="center" wrapText="1"/>
    </xf>
    <xf numFmtId="183" fontId="61" fillId="0" borderId="16" xfId="0" applyNumberFormat="1" applyFont="1" applyBorder="1" applyAlignment="1">
      <alignment horizontal="center" vertical="center" wrapText="1"/>
    </xf>
    <xf numFmtId="0" fontId="59" fillId="0" borderId="16" xfId="0" applyFont="1" applyBorder="1" applyAlignment="1" quotePrefix="1">
      <alignment horizontal="center" vertical="center" wrapText="1"/>
    </xf>
    <xf numFmtId="2" fontId="57" fillId="0" borderId="0" xfId="0" applyNumberFormat="1" applyFont="1" applyAlignment="1">
      <alignment vertical="center" wrapText="1"/>
    </xf>
    <xf numFmtId="0" fontId="59" fillId="0" borderId="0" xfId="0" applyFont="1" applyBorder="1" applyAlignment="1" quotePrefix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2" fontId="1" fillId="36" borderId="0" xfId="0" applyNumberFormat="1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1" xfId="0" applyFont="1" applyFill="1" applyBorder="1" applyAlignment="1" quotePrefix="1">
      <alignment horizontal="center" vertical="center"/>
    </xf>
    <xf numFmtId="2" fontId="62" fillId="0" borderId="10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 quotePrefix="1">
      <alignment horizontal="center" vertical="center"/>
    </xf>
    <xf numFmtId="2" fontId="62" fillId="0" borderId="11" xfId="0" applyNumberFormat="1" applyFont="1" applyBorder="1" applyAlignment="1">
      <alignment horizontal="center" vertical="center"/>
    </xf>
    <xf numFmtId="2" fontId="62" fillId="0" borderId="12" xfId="0" applyNumberFormat="1" applyFont="1" applyBorder="1" applyAlignment="1">
      <alignment horizontal="center" vertical="center"/>
    </xf>
    <xf numFmtId="2" fontId="62" fillId="0" borderId="13" xfId="0" applyNumberFormat="1" applyFont="1" applyBorder="1" applyAlignment="1">
      <alignment horizontal="center" vertical="center"/>
    </xf>
    <xf numFmtId="2" fontId="62" fillId="0" borderId="13" xfId="0" applyNumberFormat="1" applyFont="1" applyBorder="1" applyAlignment="1" quotePrefix="1">
      <alignment horizontal="center" vertical="center"/>
    </xf>
    <xf numFmtId="2" fontId="62" fillId="0" borderId="14" xfId="0" applyNumberFormat="1" applyFont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 quotePrefix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2" fontId="62" fillId="0" borderId="20" xfId="0" applyNumberFormat="1" applyFont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 quotePrefix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183" fontId="62" fillId="0" borderId="10" xfId="0" applyNumberFormat="1" applyFont="1" applyBorder="1" applyAlignment="1">
      <alignment horizontal="center" vertical="center"/>
    </xf>
    <xf numFmtId="183" fontId="62" fillId="0" borderId="0" xfId="0" applyNumberFormat="1" applyFont="1" applyBorder="1" applyAlignment="1">
      <alignment horizontal="center" vertical="center"/>
    </xf>
    <xf numFmtId="183" fontId="62" fillId="0" borderId="11" xfId="0" applyNumberFormat="1" applyFont="1" applyBorder="1" applyAlignment="1">
      <alignment horizontal="center" vertical="center"/>
    </xf>
    <xf numFmtId="183" fontId="62" fillId="0" borderId="12" xfId="0" applyNumberFormat="1" applyFont="1" applyBorder="1" applyAlignment="1">
      <alignment horizontal="center" vertical="center"/>
    </xf>
    <xf numFmtId="183" fontId="62" fillId="0" borderId="13" xfId="0" applyNumberFormat="1" applyFont="1" applyBorder="1" applyAlignment="1">
      <alignment horizontal="center" vertical="center"/>
    </xf>
    <xf numFmtId="183" fontId="62" fillId="0" borderId="14" xfId="0" applyNumberFormat="1" applyFont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10" fontId="62" fillId="0" borderId="19" xfId="0" applyNumberFormat="1" applyFont="1" applyBorder="1" applyAlignment="1">
      <alignment horizontal="center" vertical="center"/>
    </xf>
    <xf numFmtId="10" fontId="62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2" fontId="1" fillId="35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5" borderId="0" xfId="0" applyFont="1" applyFill="1" applyAlignment="1">
      <alignment horizontal="left" vertical="center" wrapText="1"/>
    </xf>
    <xf numFmtId="10" fontId="1" fillId="0" borderId="13" xfId="59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-0.00825"/>
          <c:w val="0.9295"/>
          <c:h val="0.8595"/>
        </c:manualLayout>
      </c:layout>
      <c:scatterChart>
        <c:scatterStyle val="smoothMarker"/>
        <c:varyColors val="0"/>
        <c:ser>
          <c:idx val="0"/>
          <c:order val="0"/>
          <c:tx>
            <c:v>Hatásfok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elorekeveres!$B$27:$B$58</c:f>
              <c:numCache/>
            </c:numRef>
          </c:xVal>
          <c:yVal>
            <c:numRef>
              <c:f>elorekeveres!$AP$27:$AP$58</c:f>
              <c:numCache/>
            </c:numRef>
          </c:yVal>
          <c:smooth val="1"/>
        </c:ser>
        <c:axId val="15123631"/>
        <c:axId val="1894952"/>
      </c:scatterChart>
      <c:scatterChart>
        <c:scatterStyle val="smoothMarker"/>
        <c:varyColors val="0"/>
        <c:ser>
          <c:idx val="1"/>
          <c:order val="1"/>
          <c:tx>
            <c:v>Irreverzibilitás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elorekeveres!$B$27:$B$58</c:f>
              <c:numCache/>
            </c:numRef>
          </c:xVal>
          <c:yVal>
            <c:numRef>
              <c:f>elorekeveres!$AO$27:$AO$58</c:f>
              <c:numCache/>
            </c:numRef>
          </c:yVal>
          <c:smooth val="1"/>
        </c:ser>
        <c:axId val="17054569"/>
        <c:axId val="19273394"/>
      </c:scatterChart>
      <c:valAx>
        <c:axId val="15123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t3b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4952"/>
        <c:crosses val="autoZero"/>
        <c:crossBetween val="midCat"/>
        <c:dispUnits/>
      </c:valAx>
      <c:valAx>
        <c:axId val="1894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Hatásfok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23631"/>
        <c:crosses val="autoZero"/>
        <c:crossBetween val="midCat"/>
        <c:dispUnits/>
      </c:valAx>
      <c:valAx>
        <c:axId val="17054569"/>
        <c:scaling>
          <c:orientation val="minMax"/>
        </c:scaling>
        <c:axPos val="b"/>
        <c:delete val="1"/>
        <c:majorTickMark val="out"/>
        <c:minorTickMark val="none"/>
        <c:tickLblPos val="nextTo"/>
        <c:crossAx val="19273394"/>
        <c:crosses val="max"/>
        <c:crossBetween val="midCat"/>
        <c:dispUnits/>
      </c:valAx>
      <c:valAx>
        <c:axId val="1927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Irreverzibilitás [kW/K]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456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75"/>
          <c:y val="0.92725"/>
          <c:w val="0.288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</xdr:row>
      <xdr:rowOff>28575</xdr:rowOff>
    </xdr:from>
    <xdr:to>
      <xdr:col>33</xdr:col>
      <xdr:colOff>342900</xdr:colOff>
      <xdr:row>20</xdr:row>
      <xdr:rowOff>885825</xdr:rowOff>
    </xdr:to>
    <xdr:graphicFrame>
      <xdr:nvGraphicFramePr>
        <xdr:cNvPr id="1" name="Diagram 1"/>
        <xdr:cNvGraphicFramePr/>
      </xdr:nvGraphicFramePr>
      <xdr:xfrm>
        <a:off x="12001500" y="190500"/>
        <a:ext cx="90773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-eng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x-eng.com/" TargetMode="External" /><Relationship Id="rId2" Type="http://schemas.openxmlformats.org/officeDocument/2006/relationships/hyperlink" Target="mailto:magnus@x-eng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1.00390625" style="0" customWidth="1"/>
    <col min="5" max="5" width="4.7109375" style="0" customWidth="1"/>
    <col min="6" max="6" width="20.7109375" style="0" customWidth="1"/>
  </cols>
  <sheetData>
    <row r="1" ht="18">
      <c r="B1" s="6" t="s">
        <v>219</v>
      </c>
    </row>
    <row r="2" spans="2:4" s="2" customFormat="1" ht="12.75">
      <c r="B2" s="9" t="s">
        <v>145</v>
      </c>
      <c r="D2" s="9" t="s">
        <v>146</v>
      </c>
    </row>
    <row r="3" spans="2:9" s="2" customFormat="1" ht="12.75">
      <c r="B3" s="9" t="s">
        <v>147</v>
      </c>
      <c r="D3" s="9" t="s">
        <v>217</v>
      </c>
      <c r="H3" s="1"/>
      <c r="I3" s="1"/>
    </row>
    <row r="4" spans="2:10" ht="12.75">
      <c r="B4" s="26" t="s">
        <v>148</v>
      </c>
      <c r="D4" s="9" t="s">
        <v>211</v>
      </c>
      <c r="H4" s="1"/>
      <c r="I4" s="1"/>
      <c r="J4" s="2"/>
    </row>
    <row r="5" spans="2:10" ht="12.75">
      <c r="B5" s="27"/>
      <c r="H5" s="1"/>
      <c r="I5" s="1"/>
      <c r="J5" s="2"/>
    </row>
    <row r="6" spans="2:8" ht="12.75">
      <c r="B6" s="28" t="s">
        <v>149</v>
      </c>
      <c r="C6" s="23"/>
      <c r="D6" s="23"/>
      <c r="E6" s="23"/>
      <c r="F6" s="28" t="s">
        <v>150</v>
      </c>
      <c r="G6" s="23"/>
      <c r="H6" s="23"/>
    </row>
    <row r="7" spans="1:9" ht="12.75">
      <c r="A7" s="7"/>
      <c r="B7" s="35" t="s">
        <v>176</v>
      </c>
      <c r="C7" s="36">
        <v>100</v>
      </c>
      <c r="D7" s="37" t="s">
        <v>179</v>
      </c>
      <c r="E7" s="23"/>
      <c r="F7" s="35" t="s">
        <v>186</v>
      </c>
      <c r="G7" s="39">
        <v>12.57</v>
      </c>
      <c r="H7" s="37" t="s">
        <v>151</v>
      </c>
      <c r="I7" s="7"/>
    </row>
    <row r="8" spans="1:9" ht="12.75">
      <c r="A8" s="7"/>
      <c r="B8" s="3" t="s">
        <v>188</v>
      </c>
      <c r="C8" s="29">
        <f>psat_t(C7)</f>
        <v>1.0141797792131013</v>
      </c>
      <c r="D8" s="5" t="s">
        <v>151</v>
      </c>
      <c r="E8" s="23"/>
      <c r="F8" s="3" t="s">
        <v>187</v>
      </c>
      <c r="G8" s="30">
        <f>Tsat_p(G7)</f>
        <v>190.0720101494847</v>
      </c>
      <c r="H8" s="5" t="s">
        <v>179</v>
      </c>
      <c r="I8" s="7"/>
    </row>
    <row r="9" spans="1:9" ht="12.75">
      <c r="A9" s="7"/>
      <c r="B9" s="4" t="s">
        <v>152</v>
      </c>
      <c r="C9" s="7"/>
      <c r="D9" s="5"/>
      <c r="F9" s="4" t="s">
        <v>152</v>
      </c>
      <c r="G9" s="7"/>
      <c r="H9" s="5"/>
      <c r="I9" s="7"/>
    </row>
    <row r="10" spans="1:9" ht="12.75">
      <c r="A10" s="7"/>
      <c r="B10" s="3" t="s">
        <v>175</v>
      </c>
      <c r="C10" s="31">
        <f>hL_T(C7)</f>
        <v>419.0991549977031</v>
      </c>
      <c r="D10" s="5" t="s">
        <v>171</v>
      </c>
      <c r="E10" s="23"/>
      <c r="F10" s="3" t="s">
        <v>175</v>
      </c>
      <c r="G10" s="31">
        <f>hL_p(G7)</f>
        <v>807.8871391616062</v>
      </c>
      <c r="H10" s="5" t="s">
        <v>171</v>
      </c>
      <c r="I10" s="7"/>
    </row>
    <row r="11" spans="1:9" ht="12.75">
      <c r="A11" s="7"/>
      <c r="B11" s="3" t="s">
        <v>181</v>
      </c>
      <c r="C11" s="30">
        <f>rhoL_T(C7)</f>
        <v>958.3542772858901</v>
      </c>
      <c r="D11" s="5" t="s">
        <v>177</v>
      </c>
      <c r="E11" s="23"/>
      <c r="F11" s="3" t="s">
        <v>181</v>
      </c>
      <c r="G11" s="30">
        <f>rhoL_P(G7)</f>
        <v>876.003690639728</v>
      </c>
      <c r="H11" s="5" t="s">
        <v>177</v>
      </c>
      <c r="I11" s="7"/>
    </row>
    <row r="12" spans="1:9" ht="12.75">
      <c r="A12" s="7"/>
      <c r="B12" s="3" t="s">
        <v>153</v>
      </c>
      <c r="C12" s="30">
        <f>sL_T(C7)</f>
        <v>1.3070143278413395</v>
      </c>
      <c r="D12" s="5" t="s">
        <v>218</v>
      </c>
      <c r="E12" s="23"/>
      <c r="F12" s="3" t="s">
        <v>153</v>
      </c>
      <c r="G12" s="30">
        <f>sL_p(G7)</f>
        <v>2.236468987670497</v>
      </c>
      <c r="H12" s="5" t="s">
        <v>218</v>
      </c>
      <c r="I12" s="7"/>
    </row>
    <row r="13" spans="1:9" ht="12.75">
      <c r="A13" s="7"/>
      <c r="B13" s="32" t="s">
        <v>154</v>
      </c>
      <c r="C13" s="7"/>
      <c r="D13" s="5"/>
      <c r="F13" s="32" t="s">
        <v>154</v>
      </c>
      <c r="G13" s="7"/>
      <c r="H13" s="5"/>
      <c r="I13" s="7"/>
    </row>
    <row r="14" spans="1:9" ht="12.75">
      <c r="A14" s="7"/>
      <c r="B14" s="3" t="s">
        <v>155</v>
      </c>
      <c r="C14" s="31">
        <f>hV_T(C7)</f>
        <v>2675.5720292208343</v>
      </c>
      <c r="D14" s="5" t="s">
        <v>171</v>
      </c>
      <c r="E14" s="23"/>
      <c r="F14" s="3" t="s">
        <v>155</v>
      </c>
      <c r="G14" s="31">
        <f>hV_p(G7)</f>
        <v>2785.3645430359766</v>
      </c>
      <c r="H14" s="5" t="s">
        <v>171</v>
      </c>
      <c r="I14" s="7"/>
    </row>
    <row r="15" spans="1:9" ht="12.75">
      <c r="A15" s="7"/>
      <c r="B15" s="3" t="s">
        <v>156</v>
      </c>
      <c r="C15" s="30">
        <f>rhoV_T(C7)</f>
        <v>0.5981359925257029</v>
      </c>
      <c r="D15" s="5" t="s">
        <v>177</v>
      </c>
      <c r="E15" s="23"/>
      <c r="F15" s="3" t="s">
        <v>156</v>
      </c>
      <c r="G15" s="30">
        <f>rhoV_p(G7)</f>
        <v>6.404508204942752</v>
      </c>
      <c r="H15" s="5" t="s">
        <v>177</v>
      </c>
      <c r="I15" s="7"/>
    </row>
    <row r="16" spans="1:9" ht="12.75">
      <c r="A16" s="7"/>
      <c r="B16" s="3" t="s">
        <v>157</v>
      </c>
      <c r="C16" s="30">
        <f>sV_T(C7)</f>
        <v>7.354077050958405</v>
      </c>
      <c r="D16" s="5" t="s">
        <v>218</v>
      </c>
      <c r="E16" s="23"/>
      <c r="F16" s="3" t="s">
        <v>158</v>
      </c>
      <c r="G16" s="30">
        <f>sV_p(G7)</f>
        <v>6.505449765074675</v>
      </c>
      <c r="H16" s="5" t="s">
        <v>218</v>
      </c>
      <c r="I16" s="7"/>
    </row>
    <row r="17" spans="1:9" ht="12.75">
      <c r="A17" s="7"/>
      <c r="B17" s="19" t="s">
        <v>159</v>
      </c>
      <c r="C17" s="33">
        <f>C14-C10</f>
        <v>2256.4728742231314</v>
      </c>
      <c r="D17" s="21" t="s">
        <v>171</v>
      </c>
      <c r="E17" s="23"/>
      <c r="F17" s="19" t="s">
        <v>159</v>
      </c>
      <c r="G17" s="33">
        <f>G14-G10</f>
        <v>1977.4774038743703</v>
      </c>
      <c r="H17" s="21" t="s">
        <v>171</v>
      </c>
      <c r="I17" s="7"/>
    </row>
    <row r="18" spans="1:9" ht="12.75">
      <c r="A18" s="7"/>
      <c r="I18" s="7"/>
    </row>
    <row r="19" spans="1:9" ht="12.75">
      <c r="A19" s="7"/>
      <c r="B19" s="28" t="s">
        <v>160</v>
      </c>
      <c r="C19" s="23"/>
      <c r="D19" s="23"/>
      <c r="E19" s="23"/>
      <c r="F19" s="28" t="s">
        <v>161</v>
      </c>
      <c r="G19" s="23"/>
      <c r="H19" s="23"/>
      <c r="I19" s="7"/>
    </row>
    <row r="20" spans="1:9" ht="12.75">
      <c r="A20" s="7"/>
      <c r="B20" s="35" t="s">
        <v>186</v>
      </c>
      <c r="C20" s="36">
        <v>1</v>
      </c>
      <c r="D20" s="37" t="s">
        <v>151</v>
      </c>
      <c r="E20" s="23"/>
      <c r="F20" s="35" t="s">
        <v>186</v>
      </c>
      <c r="G20" s="36">
        <v>12.57</v>
      </c>
      <c r="H20" s="37" t="s">
        <v>151</v>
      </c>
      <c r="I20" s="7"/>
    </row>
    <row r="21" spans="1:9" ht="12.75">
      <c r="A21" s="7"/>
      <c r="B21" s="17" t="s">
        <v>176</v>
      </c>
      <c r="C21" s="38">
        <v>20</v>
      </c>
      <c r="D21" s="18" t="s">
        <v>179</v>
      </c>
      <c r="E21" s="7"/>
      <c r="F21" s="17" t="s">
        <v>175</v>
      </c>
      <c r="G21" s="38">
        <v>2788</v>
      </c>
      <c r="H21" s="18" t="s">
        <v>171</v>
      </c>
      <c r="I21" s="7"/>
    </row>
    <row r="22" spans="1:9" ht="12.75">
      <c r="A22" s="7"/>
      <c r="B22" s="3" t="s">
        <v>175</v>
      </c>
      <c r="C22" s="31">
        <f>h_pt(C20,C21)</f>
        <v>84.01181116713623</v>
      </c>
      <c r="D22" s="5" t="s">
        <v>171</v>
      </c>
      <c r="E22" s="7"/>
      <c r="F22" s="3" t="s">
        <v>176</v>
      </c>
      <c r="G22" s="31">
        <f>T_ph(G20,G21)</f>
        <v>190.99878517007232</v>
      </c>
      <c r="H22" s="5" t="s">
        <v>179</v>
      </c>
      <c r="I22" s="7"/>
    </row>
    <row r="23" spans="1:9" ht="12.75">
      <c r="A23" s="7"/>
      <c r="B23" s="3" t="s">
        <v>181</v>
      </c>
      <c r="C23" s="30">
        <f>rho_pT(C20,C21)</f>
        <v>998.2054863776968</v>
      </c>
      <c r="D23" s="5" t="s">
        <v>177</v>
      </c>
      <c r="E23" s="7"/>
      <c r="F23" s="3" t="s">
        <v>181</v>
      </c>
      <c r="G23" s="30">
        <f>rho_ph(G20,G21)</f>
        <v>6.385541555488601</v>
      </c>
      <c r="H23" s="5" t="s">
        <v>177</v>
      </c>
      <c r="I23" s="7"/>
    </row>
    <row r="24" spans="1:9" ht="12.75">
      <c r="A24" s="7"/>
      <c r="B24" s="3" t="s">
        <v>153</v>
      </c>
      <c r="C24" s="30">
        <f>s_pT(C20,C21)</f>
        <v>0.2964829208064101</v>
      </c>
      <c r="D24" s="5" t="s">
        <v>218</v>
      </c>
      <c r="E24" s="7"/>
      <c r="F24" s="3" t="s">
        <v>153</v>
      </c>
      <c r="G24" s="30">
        <f>s_ph(G20,G21)</f>
        <v>6.5111125817764135</v>
      </c>
      <c r="H24" s="5" t="s">
        <v>218</v>
      </c>
      <c r="I24" s="7"/>
    </row>
    <row r="25" spans="1:9" ht="12.75">
      <c r="A25" s="7"/>
      <c r="B25" s="22" t="s">
        <v>206</v>
      </c>
      <c r="C25">
        <f>x_ph(C20,C22)*100</f>
        <v>0</v>
      </c>
      <c r="D25" s="24" t="s">
        <v>208</v>
      </c>
      <c r="F25" s="22" t="s">
        <v>206</v>
      </c>
      <c r="G25">
        <f>x_ph(G20,G21)*100</f>
        <v>100</v>
      </c>
      <c r="H25" s="24" t="s">
        <v>208</v>
      </c>
      <c r="I25" s="7"/>
    </row>
    <row r="26" spans="1:9" ht="12.75">
      <c r="A26" s="7"/>
      <c r="B26" s="3" t="s">
        <v>162</v>
      </c>
      <c r="C26" s="7">
        <f>region_pt(C20/10,C21+273.15)</f>
        <v>1</v>
      </c>
      <c r="D26" s="5"/>
      <c r="E26" s="7"/>
      <c r="F26" s="3" t="s">
        <v>162</v>
      </c>
      <c r="G26" s="7">
        <f>region_ph(G20/10,G21)</f>
        <v>2</v>
      </c>
      <c r="H26" s="5"/>
      <c r="I26" s="7"/>
    </row>
    <row r="27" spans="1:9" ht="12.75">
      <c r="A27" s="7"/>
      <c r="B27" s="3" t="s">
        <v>163</v>
      </c>
      <c r="C27" s="34" t="str">
        <f>IF(C26=2,"Steam",IF(C26=1,"Liquid",IF(C26=4,"Mixture","")))</f>
        <v>Liquid</v>
      </c>
      <c r="D27" s="5"/>
      <c r="E27" s="7"/>
      <c r="F27" s="3" t="s">
        <v>163</v>
      </c>
      <c r="G27" s="34" t="str">
        <f>IF(G26=2,"Steam",IF(G26=1,"Liquid",IF(G26=4,"Mixture","")))</f>
        <v>Steam</v>
      </c>
      <c r="H27" s="5"/>
      <c r="I27" s="7"/>
    </row>
    <row r="28" spans="2:8" ht="12.75">
      <c r="B28" s="3" t="s">
        <v>164</v>
      </c>
      <c r="C28" s="7">
        <f>Cp_pT(C20,C21)</f>
        <v>4.18479822130853</v>
      </c>
      <c r="D28" s="5" t="s">
        <v>171</v>
      </c>
      <c r="F28" s="3" t="s">
        <v>164</v>
      </c>
      <c r="G28" s="7">
        <f>Cp_ph(G20,G21)</f>
        <v>2.819479422450438</v>
      </c>
      <c r="H28" s="5" t="s">
        <v>171</v>
      </c>
    </row>
    <row r="29" spans="2:8" ht="12.75">
      <c r="B29" s="19" t="s">
        <v>165</v>
      </c>
      <c r="C29" s="20">
        <f>w_pT(C20,C21)</f>
        <v>1483.4167663120188</v>
      </c>
      <c r="D29" s="21" t="s">
        <v>174</v>
      </c>
      <c r="F29" s="19" t="s">
        <v>165</v>
      </c>
      <c r="G29" s="20">
        <f>w_ph(G20,G21)</f>
        <v>503.5512171420585</v>
      </c>
      <c r="H29" s="21" t="s">
        <v>174</v>
      </c>
    </row>
  </sheetData>
  <sheetProtection/>
  <hyperlinks>
    <hyperlink ref="B4" r:id="rId1" display="www.x-eng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outlinePr summaryBelow="0"/>
  </sheetPr>
  <dimension ref="A1:M150"/>
  <sheetViews>
    <sheetView zoomScalePageLayoutView="0" workbookViewId="0" topLeftCell="A1">
      <selection activeCell="D1" sqref="D1"/>
    </sheetView>
  </sheetViews>
  <sheetFormatPr defaultColWidth="9.140625" defaultRowHeight="12.75" outlineLevelRow="1"/>
  <cols>
    <col min="1" max="1" width="24.140625" style="0" customWidth="1"/>
    <col min="2" max="2" width="4.7109375" style="0" customWidth="1"/>
    <col min="3" max="3" width="7.7109375" style="0" customWidth="1"/>
    <col min="4" max="4" width="4.7109375" style="0" customWidth="1"/>
    <col min="5" max="5" width="8.28125" style="0" customWidth="1"/>
    <col min="6" max="6" width="10.421875" style="1" bestFit="1" customWidth="1"/>
    <col min="7" max="7" width="9.140625" style="1" customWidth="1"/>
    <col min="8" max="8" width="7.57421875" style="2" customWidth="1"/>
  </cols>
  <sheetData>
    <row r="1" spans="1:7" s="14" customFormat="1" ht="18">
      <c r="A1" s="6" t="s">
        <v>219</v>
      </c>
      <c r="D1" s="2" t="s">
        <v>0</v>
      </c>
      <c r="E1" s="15" t="s">
        <v>220</v>
      </c>
      <c r="F1" s="6"/>
      <c r="G1" s="6"/>
    </row>
    <row r="2" s="11" customFormat="1" ht="11.25">
      <c r="A2" s="11" t="s">
        <v>221</v>
      </c>
    </row>
    <row r="3" s="9" customFormat="1" ht="11.25">
      <c r="A3" s="9" t="s">
        <v>142</v>
      </c>
    </row>
    <row r="4" spans="1:6" s="9" customFormat="1" ht="11.25">
      <c r="A4" s="9" t="s">
        <v>143</v>
      </c>
      <c r="F4" s="16" t="s">
        <v>223</v>
      </c>
    </row>
    <row r="5" s="9" customFormat="1" ht="11.25">
      <c r="A5" s="9" t="s">
        <v>217</v>
      </c>
    </row>
    <row r="6" spans="1:7" ht="12.75">
      <c r="A6" s="11" t="s">
        <v>211</v>
      </c>
      <c r="B6" s="2"/>
      <c r="C6" s="2"/>
      <c r="D6" s="2"/>
      <c r="E6" s="2"/>
      <c r="F6" s="2"/>
      <c r="G6" s="2"/>
    </row>
    <row r="7" spans="1:7" ht="12.75">
      <c r="A7" s="11"/>
      <c r="B7" s="2"/>
      <c r="C7" s="2"/>
      <c r="D7" s="2"/>
      <c r="E7" s="2"/>
      <c r="F7" s="2"/>
      <c r="G7" s="2"/>
    </row>
    <row r="8" spans="1:7" s="13" customFormat="1" ht="15">
      <c r="A8" s="25" t="s">
        <v>176</v>
      </c>
      <c r="F8" s="12"/>
      <c r="G8" s="12"/>
    </row>
    <row r="9" spans="1:8" s="9" customFormat="1" ht="12.75" outlineLevel="1">
      <c r="A9" s="1" t="s">
        <v>26</v>
      </c>
      <c r="B9" s="2">
        <v>1</v>
      </c>
      <c r="C9" s="2" t="s">
        <v>178</v>
      </c>
      <c r="D9" s="2"/>
      <c r="E9" s="2"/>
      <c r="F9" s="1">
        <f>Tsat_p(B9)</f>
        <v>99.60591861133764</v>
      </c>
      <c r="G9" s="1" t="s">
        <v>179</v>
      </c>
      <c r="H9" s="2" t="s">
        <v>187</v>
      </c>
    </row>
    <row r="10" spans="1:8" s="9" customFormat="1" ht="12.75" outlineLevel="1">
      <c r="A10" s="1" t="s">
        <v>25</v>
      </c>
      <c r="B10" s="2">
        <v>1</v>
      </c>
      <c r="C10" s="2" t="s">
        <v>178</v>
      </c>
      <c r="D10" s="2">
        <v>100</v>
      </c>
      <c r="E10" s="2" t="s">
        <v>171</v>
      </c>
      <c r="F10" s="1">
        <f>T_ph(B10,D10)</f>
        <v>23.844819075324835</v>
      </c>
      <c r="G10" s="1" t="s">
        <v>179</v>
      </c>
      <c r="H10" s="2" t="s">
        <v>212</v>
      </c>
    </row>
    <row r="11" spans="1:8" s="9" customFormat="1" ht="12.75" outlineLevel="1">
      <c r="A11" s="1" t="s">
        <v>27</v>
      </c>
      <c r="B11" s="2">
        <v>1</v>
      </c>
      <c r="C11" s="2" t="s">
        <v>178</v>
      </c>
      <c r="D11" s="2">
        <v>1</v>
      </c>
      <c r="E11" s="2" t="s">
        <v>173</v>
      </c>
      <c r="F11" s="1">
        <f>T_ps(B11,D11)</f>
        <v>73.70859421440866</v>
      </c>
      <c r="G11" s="1" t="s">
        <v>179</v>
      </c>
      <c r="H11" s="2" t="s">
        <v>213</v>
      </c>
    </row>
    <row r="12" spans="1:8" s="9" customFormat="1" ht="12.75" outlineLevel="1">
      <c r="A12" s="1" t="s">
        <v>24</v>
      </c>
      <c r="B12" s="2">
        <v>100</v>
      </c>
      <c r="C12" s="2" t="s">
        <v>171</v>
      </c>
      <c r="D12" s="2">
        <v>0.2</v>
      </c>
      <c r="E12" s="2" t="s">
        <v>173</v>
      </c>
      <c r="F12" s="1">
        <f>T_hs(B12,D12)</f>
        <v>13.849335111872563</v>
      </c>
      <c r="G12" s="1" t="s">
        <v>179</v>
      </c>
      <c r="H12" s="2" t="s">
        <v>227</v>
      </c>
    </row>
    <row r="13" spans="1:7" s="13" customFormat="1" ht="15">
      <c r="A13" s="25" t="s">
        <v>186</v>
      </c>
      <c r="F13" s="12"/>
      <c r="G13" s="12"/>
    </row>
    <row r="14" spans="1:8" s="9" customFormat="1" ht="12.75" outlineLevel="1">
      <c r="A14" s="1" t="s">
        <v>23</v>
      </c>
      <c r="B14" s="2">
        <v>100</v>
      </c>
      <c r="C14" s="2" t="s">
        <v>179</v>
      </c>
      <c r="D14" s="2"/>
      <c r="E14" s="2"/>
      <c r="F14" s="1">
        <f>psat_t(B14)</f>
        <v>1.0141797792131013</v>
      </c>
      <c r="G14" s="1" t="s">
        <v>178</v>
      </c>
      <c r="H14" s="2" t="s">
        <v>188</v>
      </c>
    </row>
    <row r="15" spans="1:8" s="9" customFormat="1" ht="12.75" outlineLevel="1">
      <c r="A15" s="1" t="s">
        <v>22</v>
      </c>
      <c r="B15" s="2">
        <v>84</v>
      </c>
      <c r="C15" s="2" t="s">
        <v>171</v>
      </c>
      <c r="D15" s="2">
        <v>0.296</v>
      </c>
      <c r="E15" s="2" t="s">
        <v>173</v>
      </c>
      <c r="F15" s="1">
        <f>p_hs(B15,D15)</f>
        <v>2.295498269280914</v>
      </c>
      <c r="G15" s="1" t="s">
        <v>178</v>
      </c>
      <c r="H15" s="2" t="s">
        <v>222</v>
      </c>
    </row>
    <row r="16" spans="1:8" s="9" customFormat="1" ht="12.75" outlineLevel="1">
      <c r="A16" s="1" t="s">
        <v>21</v>
      </c>
      <c r="B16" s="2">
        <v>2000</v>
      </c>
      <c r="C16" s="2" t="s">
        <v>171</v>
      </c>
      <c r="D16" s="2">
        <v>5</v>
      </c>
      <c r="E16" s="2" t="s">
        <v>177</v>
      </c>
      <c r="F16" s="1">
        <f>p_hrho(B16,D16)</f>
        <v>6.0464690304783115</v>
      </c>
      <c r="G16" s="1" t="s">
        <v>178</v>
      </c>
      <c r="H16" s="2" t="s">
        <v>3</v>
      </c>
    </row>
    <row r="17" spans="1:7" s="13" customFormat="1" ht="15">
      <c r="A17" s="25" t="s">
        <v>175</v>
      </c>
      <c r="F17" s="12"/>
      <c r="G17" s="12"/>
    </row>
    <row r="18" spans="1:8" s="9" customFormat="1" ht="12.75" outlineLevel="1">
      <c r="A18" s="1" t="s">
        <v>28</v>
      </c>
      <c r="B18" s="2">
        <v>1</v>
      </c>
      <c r="C18" s="2" t="s">
        <v>178</v>
      </c>
      <c r="D18" s="2"/>
      <c r="E18" s="2"/>
      <c r="F18" s="1">
        <f>hV_p(B18)</f>
        <v>2674.949640832146</v>
      </c>
      <c r="G18" s="1" t="s">
        <v>171</v>
      </c>
      <c r="H18" s="2" t="s">
        <v>190</v>
      </c>
    </row>
    <row r="19" spans="1:8" s="9" customFormat="1" ht="12.75" outlineLevel="1">
      <c r="A19" s="1" t="s">
        <v>29</v>
      </c>
      <c r="B19" s="2">
        <v>1</v>
      </c>
      <c r="C19" s="2" t="s">
        <v>178</v>
      </c>
      <c r="D19" s="2"/>
      <c r="E19" s="2"/>
      <c r="F19" s="1">
        <f>hL_p(B19)</f>
        <v>417.4364858162317</v>
      </c>
      <c r="G19" s="1" t="s">
        <v>171</v>
      </c>
      <c r="H19" s="2" t="s">
        <v>195</v>
      </c>
    </row>
    <row r="20" spans="1:8" s="9" customFormat="1" ht="12.75" outlineLevel="1">
      <c r="A20" s="1" t="s">
        <v>30</v>
      </c>
      <c r="B20" s="2">
        <v>100</v>
      </c>
      <c r="C20" s="2" t="s">
        <v>179</v>
      </c>
      <c r="D20" s="2"/>
      <c r="E20" s="2"/>
      <c r="F20" s="1">
        <f>hV_T(B20)</f>
        <v>2675.5720292208343</v>
      </c>
      <c r="G20" s="1" t="s">
        <v>171</v>
      </c>
      <c r="H20" s="2" t="s">
        <v>190</v>
      </c>
    </row>
    <row r="21" spans="1:8" s="9" customFormat="1" ht="12.75" outlineLevel="1">
      <c r="A21" s="1" t="s">
        <v>31</v>
      </c>
      <c r="B21" s="2">
        <v>100</v>
      </c>
      <c r="C21" s="2" t="s">
        <v>179</v>
      </c>
      <c r="D21" s="2"/>
      <c r="E21" s="2"/>
      <c r="F21" s="1">
        <f>hL_T(B21)</f>
        <v>419.0991549977031</v>
      </c>
      <c r="G21" s="1" t="s">
        <v>171</v>
      </c>
      <c r="H21" s="2" t="s">
        <v>195</v>
      </c>
    </row>
    <row r="22" spans="1:8" s="9" customFormat="1" ht="12.75" outlineLevel="1">
      <c r="A22" s="1" t="s">
        <v>32</v>
      </c>
      <c r="B22" s="2">
        <v>1</v>
      </c>
      <c r="C22" s="2" t="s">
        <v>178</v>
      </c>
      <c r="D22" s="2">
        <v>20</v>
      </c>
      <c r="E22" s="2" t="s">
        <v>179</v>
      </c>
      <c r="F22" s="1">
        <f>h_pt(B22,D22)</f>
        <v>84.01181116713623</v>
      </c>
      <c r="G22" s="1" t="s">
        <v>171</v>
      </c>
      <c r="H22" s="2" t="s">
        <v>214</v>
      </c>
    </row>
    <row r="23" spans="1:8" s="9" customFormat="1" ht="12.75" outlineLevel="1">
      <c r="A23" s="1" t="s">
        <v>33</v>
      </c>
      <c r="B23" s="2">
        <v>1</v>
      </c>
      <c r="C23" s="2" t="s">
        <v>178</v>
      </c>
      <c r="D23" s="2">
        <v>1</v>
      </c>
      <c r="E23" s="2" t="s">
        <v>173</v>
      </c>
      <c r="F23" s="1">
        <f>h_ps(B23,D23)</f>
        <v>308.61071708294634</v>
      </c>
      <c r="G23" s="1" t="s">
        <v>171</v>
      </c>
      <c r="H23" s="2" t="s">
        <v>215</v>
      </c>
    </row>
    <row r="24" spans="1:8" s="9" customFormat="1" ht="12.75" outlineLevel="1">
      <c r="A24" s="1" t="s">
        <v>34</v>
      </c>
      <c r="B24" s="2">
        <v>1</v>
      </c>
      <c r="C24" s="2" t="s">
        <v>178</v>
      </c>
      <c r="D24" s="2">
        <v>0.5</v>
      </c>
      <c r="E24" s="2"/>
      <c r="F24" s="1">
        <f>h_px(B24,D24)</f>
        <v>1546.1930633241889</v>
      </c>
      <c r="G24" s="1" t="s">
        <v>171</v>
      </c>
      <c r="H24" s="2" t="s">
        <v>225</v>
      </c>
    </row>
    <row r="25" spans="1:8" s="9" customFormat="1" ht="12.75" outlineLevel="1">
      <c r="A25" s="1" t="s">
        <v>35</v>
      </c>
      <c r="B25" s="2">
        <v>100</v>
      </c>
      <c r="C25" s="2" t="s">
        <v>179</v>
      </c>
      <c r="D25" s="2">
        <v>0.5</v>
      </c>
      <c r="E25" s="2"/>
      <c r="F25" s="1">
        <f>h_tx(B25,D25)</f>
        <v>1547.3355921092686</v>
      </c>
      <c r="G25" s="1" t="s">
        <v>171</v>
      </c>
      <c r="H25" s="2" t="s">
        <v>226</v>
      </c>
    </row>
    <row r="26" spans="1:8" s="9" customFormat="1" ht="12.75" outlineLevel="1">
      <c r="A26" s="1" t="s">
        <v>36</v>
      </c>
      <c r="B26" s="2">
        <v>1</v>
      </c>
      <c r="C26" s="2" t="s">
        <v>178</v>
      </c>
      <c r="D26" s="2">
        <v>2</v>
      </c>
      <c r="E26" s="2" t="s">
        <v>177</v>
      </c>
      <c r="F26" s="1">
        <f>h_prho(B26,D26)</f>
        <v>1082.7733907600204</v>
      </c>
      <c r="G26" s="1" t="s">
        <v>171</v>
      </c>
      <c r="H26" s="2" t="s">
        <v>144</v>
      </c>
    </row>
    <row r="27" spans="1:7" s="13" customFormat="1" ht="15">
      <c r="A27" s="25" t="s">
        <v>189</v>
      </c>
      <c r="F27" s="12"/>
      <c r="G27" s="12"/>
    </row>
    <row r="28" spans="1:8" s="9" customFormat="1" ht="12.75" outlineLevel="1">
      <c r="A28" s="1" t="s">
        <v>37</v>
      </c>
      <c r="B28" s="2">
        <v>1</v>
      </c>
      <c r="C28" s="2" t="s">
        <v>178</v>
      </c>
      <c r="D28" s="2"/>
      <c r="E28" s="2"/>
      <c r="F28" s="1">
        <f>vV_p(B28)</f>
        <v>1.6940225229026846</v>
      </c>
      <c r="G28" s="1" t="s">
        <v>172</v>
      </c>
      <c r="H28" s="2" t="s">
        <v>191</v>
      </c>
    </row>
    <row r="29" spans="1:8" s="9" customFormat="1" ht="12.75" outlineLevel="1">
      <c r="A29" s="1" t="s">
        <v>38</v>
      </c>
      <c r="B29" s="2">
        <v>1</v>
      </c>
      <c r="C29" s="2" t="s">
        <v>178</v>
      </c>
      <c r="D29" s="2"/>
      <c r="E29" s="2"/>
      <c r="F29" s="1">
        <f>vL_p(B29)</f>
        <v>0.0010431478391551838</v>
      </c>
      <c r="G29" s="1" t="s">
        <v>172</v>
      </c>
      <c r="H29" s="2" t="s">
        <v>196</v>
      </c>
    </row>
    <row r="30" spans="1:8" s="9" customFormat="1" ht="12.75" outlineLevel="1">
      <c r="A30" s="1" t="s">
        <v>39</v>
      </c>
      <c r="B30" s="2">
        <v>100</v>
      </c>
      <c r="C30" s="2" t="s">
        <v>179</v>
      </c>
      <c r="D30" s="2"/>
      <c r="E30" s="2"/>
      <c r="F30" s="1">
        <f>vV_T(B30)</f>
        <v>1.6718606010940367</v>
      </c>
      <c r="G30" s="1" t="s">
        <v>172</v>
      </c>
      <c r="H30" s="2" t="s">
        <v>191</v>
      </c>
    </row>
    <row r="31" spans="1:8" s="9" customFormat="1" ht="12.75" outlineLevel="1">
      <c r="A31" s="1" t="s">
        <v>40</v>
      </c>
      <c r="B31" s="2">
        <v>100</v>
      </c>
      <c r="C31" s="2" t="s">
        <v>179</v>
      </c>
      <c r="D31" s="2"/>
      <c r="E31" s="2"/>
      <c r="F31" s="1">
        <f>vL_T(B31)</f>
        <v>0.001043455456610527</v>
      </c>
      <c r="G31" s="1" t="s">
        <v>172</v>
      </c>
      <c r="H31" s="2" t="s">
        <v>196</v>
      </c>
    </row>
    <row r="32" spans="1:8" s="9" customFormat="1" ht="12.75" outlineLevel="1">
      <c r="A32" s="1" t="s">
        <v>41</v>
      </c>
      <c r="B32" s="2">
        <v>1</v>
      </c>
      <c r="C32" s="2" t="s">
        <v>178</v>
      </c>
      <c r="D32" s="2">
        <v>100</v>
      </c>
      <c r="E32" s="2" t="s">
        <v>179</v>
      </c>
      <c r="F32" s="1">
        <f>v_pT(B32,D32)</f>
        <v>1.6959594073982218</v>
      </c>
      <c r="G32" s="1" t="s">
        <v>172</v>
      </c>
      <c r="H32" s="2" t="s">
        <v>228</v>
      </c>
    </row>
    <row r="33" spans="1:8" s="9" customFormat="1" ht="12.75" outlineLevel="1">
      <c r="A33" s="1" t="s">
        <v>42</v>
      </c>
      <c r="B33" s="2">
        <v>1</v>
      </c>
      <c r="C33" s="2" t="s">
        <v>178</v>
      </c>
      <c r="D33" s="2">
        <v>1000</v>
      </c>
      <c r="E33" s="2" t="s">
        <v>171</v>
      </c>
      <c r="F33" s="1">
        <f>v_ph(B33,D33)</f>
        <v>0.43792565812986356</v>
      </c>
      <c r="G33" s="1" t="s">
        <v>172</v>
      </c>
      <c r="H33" s="2" t="s">
        <v>229</v>
      </c>
    </row>
    <row r="34" spans="1:8" s="9" customFormat="1" ht="12.75" outlineLevel="1">
      <c r="A34" s="1" t="s">
        <v>43</v>
      </c>
      <c r="B34" s="2">
        <v>1</v>
      </c>
      <c r="C34" s="2" t="s">
        <v>178</v>
      </c>
      <c r="D34" s="2">
        <v>5</v>
      </c>
      <c r="E34" s="2" t="s">
        <v>173</v>
      </c>
      <c r="F34" s="1">
        <f>v_ps(B34,D34)</f>
        <v>1.0346353901862877</v>
      </c>
      <c r="G34" s="1" t="s">
        <v>172</v>
      </c>
      <c r="H34" s="2" t="s">
        <v>230</v>
      </c>
    </row>
    <row r="35" spans="1:7" s="13" customFormat="1" ht="15">
      <c r="A35" s="25" t="s">
        <v>181</v>
      </c>
      <c r="F35" s="12"/>
      <c r="G35" s="12"/>
    </row>
    <row r="36" spans="1:8" s="9" customFormat="1" ht="12.75" outlineLevel="1">
      <c r="A36" s="1" t="s">
        <v>44</v>
      </c>
      <c r="B36" s="2">
        <v>1</v>
      </c>
      <c r="C36" s="2" t="s">
        <v>178</v>
      </c>
      <c r="D36" s="2"/>
      <c r="E36" s="2"/>
      <c r="F36" s="1">
        <f>rhoV_p(B36)</f>
        <v>0.5903109235445781</v>
      </c>
      <c r="G36" s="1" t="s">
        <v>177</v>
      </c>
      <c r="H36" s="2" t="s">
        <v>192</v>
      </c>
    </row>
    <row r="37" spans="1:8" s="9" customFormat="1" ht="12.75" outlineLevel="1">
      <c r="A37" s="1" t="s">
        <v>45</v>
      </c>
      <c r="B37" s="2">
        <v>1</v>
      </c>
      <c r="C37" s="2" t="s">
        <v>178</v>
      </c>
      <c r="D37" s="2"/>
      <c r="E37" s="2"/>
      <c r="F37" s="1">
        <f>rhoL_P(B37)</f>
        <v>958.6368896760329</v>
      </c>
      <c r="G37" s="1" t="s">
        <v>177</v>
      </c>
      <c r="H37" s="2" t="s">
        <v>197</v>
      </c>
    </row>
    <row r="38" spans="1:8" s="9" customFormat="1" ht="12.75" outlineLevel="1">
      <c r="A38" s="1" t="s">
        <v>46</v>
      </c>
      <c r="B38" s="2">
        <v>100</v>
      </c>
      <c r="C38" s="2" t="s">
        <v>179</v>
      </c>
      <c r="D38" s="2"/>
      <c r="E38" s="2"/>
      <c r="F38" s="1">
        <f>rhoV_T(B38)</f>
        <v>0.5981359925257029</v>
      </c>
      <c r="G38" s="1" t="s">
        <v>177</v>
      </c>
      <c r="H38" s="2" t="s">
        <v>192</v>
      </c>
    </row>
    <row r="39" spans="1:8" s="9" customFormat="1" ht="12.75" outlineLevel="1">
      <c r="A39" s="1" t="s">
        <v>47</v>
      </c>
      <c r="B39" s="2">
        <v>100</v>
      </c>
      <c r="C39" s="2" t="s">
        <v>179</v>
      </c>
      <c r="D39" s="2"/>
      <c r="E39" s="2"/>
      <c r="F39" s="1">
        <f>rhoL_T(B39)</f>
        <v>958.3542772858901</v>
      </c>
      <c r="G39" s="1" t="s">
        <v>177</v>
      </c>
      <c r="H39" s="2" t="s">
        <v>197</v>
      </c>
    </row>
    <row r="40" spans="1:8" s="9" customFormat="1" ht="12.75" outlineLevel="1">
      <c r="A40" s="1" t="s">
        <v>48</v>
      </c>
      <c r="B40" s="2">
        <v>1</v>
      </c>
      <c r="C40" s="2" t="s">
        <v>178</v>
      </c>
      <c r="D40" s="2">
        <v>100</v>
      </c>
      <c r="E40" s="2" t="s">
        <v>179</v>
      </c>
      <c r="F40" s="1">
        <f>rho_pT(B40,D40)</f>
        <v>0.5896367540624714</v>
      </c>
      <c r="G40" s="1" t="s">
        <v>177</v>
      </c>
      <c r="H40" s="2" t="s">
        <v>231</v>
      </c>
    </row>
    <row r="41" spans="1:8" s="9" customFormat="1" ht="12.75" outlineLevel="1">
      <c r="A41" s="1" t="s">
        <v>49</v>
      </c>
      <c r="B41" s="2">
        <v>1</v>
      </c>
      <c r="C41" s="2" t="s">
        <v>178</v>
      </c>
      <c r="D41" s="2">
        <v>1000</v>
      </c>
      <c r="E41" s="2" t="s">
        <v>171</v>
      </c>
      <c r="F41" s="1">
        <f>rho_ph(B41,D41)</f>
        <v>2.283492600708629</v>
      </c>
      <c r="G41" s="1" t="s">
        <v>177</v>
      </c>
      <c r="H41" s="2" t="s">
        <v>232</v>
      </c>
    </row>
    <row r="42" spans="1:8" s="9" customFormat="1" ht="12.75" outlineLevel="1">
      <c r="A42" s="1" t="s">
        <v>50</v>
      </c>
      <c r="B42" s="2">
        <v>1</v>
      </c>
      <c r="C42" s="2" t="s">
        <v>178</v>
      </c>
      <c r="D42" s="2">
        <v>1</v>
      </c>
      <c r="E42" s="2" t="s">
        <v>173</v>
      </c>
      <c r="F42" s="1">
        <f>rho_ps(B42,D42)</f>
        <v>975.6236788482324</v>
      </c>
      <c r="G42" s="1" t="s">
        <v>177</v>
      </c>
      <c r="H42" s="2" t="s">
        <v>233</v>
      </c>
    </row>
    <row r="43" spans="1:7" s="13" customFormat="1" ht="15">
      <c r="A43" s="25" t="s">
        <v>180</v>
      </c>
      <c r="F43" s="12"/>
      <c r="G43" s="12"/>
    </row>
    <row r="44" spans="1:8" s="9" customFormat="1" ht="12.75" outlineLevel="1">
      <c r="A44" s="1" t="s">
        <v>51</v>
      </c>
      <c r="B44" s="2">
        <v>0.006117</v>
      </c>
      <c r="C44" s="2" t="s">
        <v>178</v>
      </c>
      <c r="D44" s="2"/>
      <c r="E44" s="2"/>
      <c r="F44" s="1">
        <f>sV_p(B44)</f>
        <v>9.155465555713246</v>
      </c>
      <c r="G44" s="1" t="s">
        <v>173</v>
      </c>
      <c r="H44" s="2" t="s">
        <v>193</v>
      </c>
    </row>
    <row r="45" spans="1:8" s="9" customFormat="1" ht="12.75" outlineLevel="1">
      <c r="A45" s="1" t="s">
        <v>52</v>
      </c>
      <c r="B45" s="2">
        <v>0.0061171</v>
      </c>
      <c r="C45" s="2" t="s">
        <v>178</v>
      </c>
      <c r="D45" s="2"/>
      <c r="E45" s="2"/>
      <c r="F45" s="1">
        <f>sL_p(B45)</f>
        <v>1.8359025119632E-05</v>
      </c>
      <c r="G45" s="1" t="s">
        <v>173</v>
      </c>
      <c r="H45" s="2" t="s">
        <v>198</v>
      </c>
    </row>
    <row r="46" spans="1:8" s="9" customFormat="1" ht="12.75" outlineLevel="1">
      <c r="A46" s="1" t="s">
        <v>53</v>
      </c>
      <c r="B46" s="2">
        <v>0.0001</v>
      </c>
      <c r="C46" s="2" t="s">
        <v>179</v>
      </c>
      <c r="D46" s="2"/>
      <c r="E46" s="2"/>
      <c r="F46" s="1">
        <f>sV_T(B46)</f>
        <v>9.155756715885586</v>
      </c>
      <c r="G46" s="1" t="s">
        <v>173</v>
      </c>
      <c r="H46" s="2" t="s">
        <v>193</v>
      </c>
    </row>
    <row r="47" spans="1:8" s="9" customFormat="1" ht="12.75" outlineLevel="1">
      <c r="A47" s="1" t="s">
        <v>54</v>
      </c>
      <c r="B47" s="2">
        <v>100</v>
      </c>
      <c r="C47" s="2" t="s">
        <v>179</v>
      </c>
      <c r="D47" s="2"/>
      <c r="E47" s="2"/>
      <c r="F47" s="1">
        <f>sL_T(B47)</f>
        <v>1.3070143278413395</v>
      </c>
      <c r="G47" s="1" t="s">
        <v>173</v>
      </c>
      <c r="H47" s="2" t="s">
        <v>198</v>
      </c>
    </row>
    <row r="48" spans="1:8" s="9" customFormat="1" ht="12.75" outlineLevel="1">
      <c r="A48" s="1" t="s">
        <v>55</v>
      </c>
      <c r="B48" s="2">
        <v>1</v>
      </c>
      <c r="C48" s="2" t="s">
        <v>178</v>
      </c>
      <c r="D48" s="2">
        <v>20</v>
      </c>
      <c r="E48" s="2" t="s">
        <v>179</v>
      </c>
      <c r="F48" s="1">
        <f>s_pT(B48,D48)</f>
        <v>0.2964829208064101</v>
      </c>
      <c r="G48" s="1" t="s">
        <v>173</v>
      </c>
      <c r="H48" s="2" t="s">
        <v>128</v>
      </c>
    </row>
    <row r="49" spans="1:8" s="9" customFormat="1" ht="12.75" outlineLevel="1">
      <c r="A49" s="1" t="s">
        <v>56</v>
      </c>
      <c r="B49" s="2">
        <v>1</v>
      </c>
      <c r="C49" s="2" t="s">
        <v>178</v>
      </c>
      <c r="D49" s="2">
        <f>F22</f>
        <v>84.01181116713623</v>
      </c>
      <c r="E49" s="2" t="s">
        <v>171</v>
      </c>
      <c r="F49" s="1">
        <f>s_ph(B49,D49)</f>
        <v>0.2968138446764294</v>
      </c>
      <c r="G49" s="1" t="s">
        <v>173</v>
      </c>
      <c r="H49" s="2" t="s">
        <v>234</v>
      </c>
    </row>
    <row r="50" spans="1:7" s="13" customFormat="1" ht="15">
      <c r="A50" s="25" t="s">
        <v>182</v>
      </c>
      <c r="F50" s="12"/>
      <c r="G50" s="12"/>
    </row>
    <row r="51" spans="1:8" s="9" customFormat="1" ht="12.75" outlineLevel="1">
      <c r="A51" s="1" t="s">
        <v>57</v>
      </c>
      <c r="B51" s="2">
        <v>1</v>
      </c>
      <c r="C51" s="2" t="s">
        <v>178</v>
      </c>
      <c r="D51" s="2"/>
      <c r="E51" s="2"/>
      <c r="F51" s="1">
        <f>uV_p(B51)</f>
        <v>2505.547388541878</v>
      </c>
      <c r="G51" s="1" t="s">
        <v>171</v>
      </c>
      <c r="H51" s="2" t="s">
        <v>194</v>
      </c>
    </row>
    <row r="52" spans="1:8" s="9" customFormat="1" ht="12.75" outlineLevel="1">
      <c r="A52" s="1" t="s">
        <v>58</v>
      </c>
      <c r="B52" s="2">
        <v>1</v>
      </c>
      <c r="C52" s="2" t="s">
        <v>178</v>
      </c>
      <c r="D52" s="2"/>
      <c r="E52" s="2"/>
      <c r="F52" s="1">
        <f>uL_p(B52)</f>
        <v>417.3321710323162</v>
      </c>
      <c r="G52" s="1" t="s">
        <v>171</v>
      </c>
      <c r="H52" s="2" t="s">
        <v>199</v>
      </c>
    </row>
    <row r="53" spans="1:8" s="9" customFormat="1" ht="12.75" outlineLevel="1">
      <c r="A53" s="1" t="s">
        <v>59</v>
      </c>
      <c r="B53" s="2">
        <v>100</v>
      </c>
      <c r="C53" s="2" t="s">
        <v>179</v>
      </c>
      <c r="D53" s="2"/>
      <c r="E53" s="2"/>
      <c r="F53" s="1">
        <f>uV_T(B53)</f>
        <v>2506.015307691571</v>
      </c>
      <c r="G53" s="1" t="s">
        <v>171</v>
      </c>
      <c r="H53" s="2" t="s">
        <v>194</v>
      </c>
    </row>
    <row r="54" spans="1:8" s="9" customFormat="1" ht="12.75" outlineLevel="1">
      <c r="A54" s="1" t="s">
        <v>60</v>
      </c>
      <c r="B54" s="2">
        <v>100</v>
      </c>
      <c r="C54" s="2" t="s">
        <v>179</v>
      </c>
      <c r="D54" s="2"/>
      <c r="E54" s="2"/>
      <c r="F54" s="1">
        <f>uL_T(B54)</f>
        <v>418.9933298552427</v>
      </c>
      <c r="G54" s="1" t="s">
        <v>171</v>
      </c>
      <c r="H54" s="2" t="s">
        <v>199</v>
      </c>
    </row>
    <row r="55" spans="1:8" s="9" customFormat="1" ht="12.75" outlineLevel="1">
      <c r="A55" s="1" t="s">
        <v>61</v>
      </c>
      <c r="B55" s="2">
        <v>1</v>
      </c>
      <c r="C55" s="2" t="s">
        <v>178</v>
      </c>
      <c r="D55" s="2">
        <v>100</v>
      </c>
      <c r="E55" s="2" t="s">
        <v>179</v>
      </c>
      <c r="F55" s="1">
        <f>u_pT(B55,D55)</f>
        <v>2506.1714264660072</v>
      </c>
      <c r="G55" s="1" t="s">
        <v>171</v>
      </c>
      <c r="H55" s="2" t="s">
        <v>235</v>
      </c>
    </row>
    <row r="56" spans="1:8" s="9" customFormat="1" ht="12.75" outlineLevel="1">
      <c r="A56" s="1" t="s">
        <v>62</v>
      </c>
      <c r="B56" s="2">
        <v>1</v>
      </c>
      <c r="C56" s="2" t="s">
        <v>178</v>
      </c>
      <c r="D56" s="2">
        <v>1000</v>
      </c>
      <c r="E56" s="2" t="s">
        <v>171</v>
      </c>
      <c r="F56" s="1">
        <f>u_ph(B56,D56)</f>
        <v>956.2074341870137</v>
      </c>
      <c r="G56" s="1" t="s">
        <v>171</v>
      </c>
      <c r="H56" s="2" t="s">
        <v>236</v>
      </c>
    </row>
    <row r="57" spans="1:8" s="9" customFormat="1" ht="12.75" outlineLevel="1">
      <c r="A57" s="1" t="s">
        <v>63</v>
      </c>
      <c r="B57" s="2">
        <v>1</v>
      </c>
      <c r="C57" s="2" t="s">
        <v>178</v>
      </c>
      <c r="D57" s="2">
        <v>1</v>
      </c>
      <c r="E57" s="2" t="s">
        <v>173</v>
      </c>
      <c r="F57" s="1">
        <f>u_ps(B57,D57)</f>
        <v>308.50821854568443</v>
      </c>
      <c r="G57" s="1" t="s">
        <v>171</v>
      </c>
      <c r="H57" s="2" t="s">
        <v>237</v>
      </c>
    </row>
    <row r="58" spans="1:7" s="13" customFormat="1" ht="15">
      <c r="A58" s="25" t="s">
        <v>183</v>
      </c>
      <c r="F58" s="12"/>
      <c r="G58" s="12"/>
    </row>
    <row r="59" spans="1:8" s="9" customFormat="1" ht="12.75" outlineLevel="1">
      <c r="A59" s="1" t="s">
        <v>64</v>
      </c>
      <c r="B59" s="2">
        <v>1</v>
      </c>
      <c r="C59" s="2" t="s">
        <v>178</v>
      </c>
      <c r="D59" s="2"/>
      <c r="E59" s="2"/>
      <c r="F59" s="1">
        <f>CpV_p(B59)</f>
        <v>2.0759380252044393</v>
      </c>
      <c r="G59" s="1" t="s">
        <v>224</v>
      </c>
      <c r="H59" s="2" t="s">
        <v>201</v>
      </c>
    </row>
    <row r="60" spans="1:8" s="9" customFormat="1" ht="12.75" outlineLevel="1">
      <c r="A60" s="1" t="s">
        <v>65</v>
      </c>
      <c r="B60" s="2">
        <v>1</v>
      </c>
      <c r="C60" s="2" t="s">
        <v>178</v>
      </c>
      <c r="D60" s="2"/>
      <c r="E60" s="2"/>
      <c r="F60" s="1">
        <f>CpL_p(B60)</f>
        <v>4.2161494308387475</v>
      </c>
      <c r="G60" s="1" t="s">
        <v>224</v>
      </c>
      <c r="H60" s="2" t="s">
        <v>200</v>
      </c>
    </row>
    <row r="61" spans="1:8" s="9" customFormat="1" ht="12.75" outlineLevel="1">
      <c r="A61" s="1" t="s">
        <v>66</v>
      </c>
      <c r="B61" s="2">
        <v>100</v>
      </c>
      <c r="C61" s="2" t="s">
        <v>179</v>
      </c>
      <c r="D61" s="2"/>
      <c r="E61" s="2"/>
      <c r="F61" s="1">
        <f>CpV_T(B61)</f>
        <v>2.0774918684822654</v>
      </c>
      <c r="G61" s="1" t="s">
        <v>224</v>
      </c>
      <c r="H61" s="2" t="s">
        <v>201</v>
      </c>
    </row>
    <row r="62" spans="1:8" s="9" customFormat="1" ht="12.75" outlineLevel="1">
      <c r="A62" s="1" t="s">
        <v>67</v>
      </c>
      <c r="B62" s="2">
        <v>100</v>
      </c>
      <c r="C62" s="2" t="s">
        <v>179</v>
      </c>
      <c r="D62" s="2"/>
      <c r="E62" s="2"/>
      <c r="F62" s="1">
        <f>CpL_T(B62)</f>
        <v>4.2166451189235845</v>
      </c>
      <c r="G62" s="1" t="s">
        <v>224</v>
      </c>
      <c r="H62" s="2" t="s">
        <v>200</v>
      </c>
    </row>
    <row r="63" spans="1:8" s="9" customFormat="1" ht="12.75" outlineLevel="1">
      <c r="A63" s="1" t="s">
        <v>68</v>
      </c>
      <c r="B63" s="2">
        <v>1</v>
      </c>
      <c r="C63" s="2" t="s">
        <v>178</v>
      </c>
      <c r="D63" s="2">
        <v>100</v>
      </c>
      <c r="E63" s="2" t="s">
        <v>179</v>
      </c>
      <c r="F63" s="1">
        <f>Cp_pT(B63,D63)</f>
        <v>2.0741085545801092</v>
      </c>
      <c r="G63" s="1" t="s">
        <v>224</v>
      </c>
      <c r="H63" s="2" t="s">
        <v>238</v>
      </c>
    </row>
    <row r="64" spans="1:8" s="9" customFormat="1" ht="12.75" outlineLevel="1">
      <c r="A64" s="1" t="s">
        <v>69</v>
      </c>
      <c r="B64" s="2">
        <v>1</v>
      </c>
      <c r="C64" s="2" t="s">
        <v>178</v>
      </c>
      <c r="D64" s="2">
        <v>200</v>
      </c>
      <c r="E64" s="2" t="s">
        <v>171</v>
      </c>
      <c r="F64" s="1">
        <f>Cp_ph(B64,D64)</f>
        <v>4.179135731688021</v>
      </c>
      <c r="G64" s="1" t="s">
        <v>224</v>
      </c>
      <c r="H64" s="2" t="s">
        <v>239</v>
      </c>
    </row>
    <row r="65" spans="1:8" s="9" customFormat="1" ht="12.75" outlineLevel="1">
      <c r="A65" s="1" t="s">
        <v>70</v>
      </c>
      <c r="B65" s="2">
        <v>1</v>
      </c>
      <c r="C65" s="2" t="s">
        <v>178</v>
      </c>
      <c r="D65" s="2">
        <v>1</v>
      </c>
      <c r="E65" s="2" t="s">
        <v>173</v>
      </c>
      <c r="F65" s="1">
        <f>Cp_ps(B65,D65)</f>
        <v>4.190607037901294</v>
      </c>
      <c r="G65" s="1" t="s">
        <v>224</v>
      </c>
      <c r="H65" s="2" t="s">
        <v>240</v>
      </c>
    </row>
    <row r="66" spans="1:7" s="13" customFormat="1" ht="15">
      <c r="A66" s="25" t="s">
        <v>185</v>
      </c>
      <c r="F66" s="12"/>
      <c r="G66" s="12"/>
    </row>
    <row r="67" spans="1:8" s="9" customFormat="1" ht="12.75" outlineLevel="1">
      <c r="A67" s="1" t="s">
        <v>71</v>
      </c>
      <c r="B67" s="2">
        <v>1</v>
      </c>
      <c r="C67" s="2" t="s">
        <v>178</v>
      </c>
      <c r="D67" s="2"/>
      <c r="E67" s="2"/>
      <c r="F67" s="1">
        <f>CvV_p(B67)</f>
        <v>1.5526969793308025</v>
      </c>
      <c r="G67" s="1" t="s">
        <v>224</v>
      </c>
      <c r="H67" s="2" t="s">
        <v>203</v>
      </c>
    </row>
    <row r="68" spans="1:8" s="9" customFormat="1" ht="12.75" outlineLevel="1">
      <c r="A68" s="1" t="s">
        <v>72</v>
      </c>
      <c r="B68" s="2">
        <v>1</v>
      </c>
      <c r="C68" s="2" t="s">
        <v>178</v>
      </c>
      <c r="D68" s="2"/>
      <c r="E68" s="2"/>
      <c r="F68" s="1">
        <f>CvL_p(B68)</f>
        <v>3.7696996827334974</v>
      </c>
      <c r="G68" s="1" t="s">
        <v>224</v>
      </c>
      <c r="H68" s="2" t="s">
        <v>202</v>
      </c>
    </row>
    <row r="69" spans="1:8" s="9" customFormat="1" ht="12.75" outlineLevel="1">
      <c r="A69" s="1" t="s">
        <v>73</v>
      </c>
      <c r="B69" s="2">
        <v>100</v>
      </c>
      <c r="C69" s="2" t="s">
        <v>179</v>
      </c>
      <c r="D69" s="2"/>
      <c r="E69" s="2"/>
      <c r="F69" s="1">
        <f>CvV_T(B69)</f>
        <v>1.5536986960345103</v>
      </c>
      <c r="G69" s="1" t="s">
        <v>224</v>
      </c>
      <c r="H69" s="2" t="s">
        <v>203</v>
      </c>
    </row>
    <row r="70" spans="1:8" s="9" customFormat="1" ht="12.75" outlineLevel="1">
      <c r="A70" s="1" t="s">
        <v>74</v>
      </c>
      <c r="B70" s="2">
        <v>100</v>
      </c>
      <c r="C70" s="2" t="s">
        <v>179</v>
      </c>
      <c r="D70" s="2"/>
      <c r="E70" s="2"/>
      <c r="F70" s="1">
        <f>CvL_T(B70)</f>
        <v>3.7677002201427507</v>
      </c>
      <c r="G70" s="1" t="s">
        <v>224</v>
      </c>
      <c r="H70" s="2" t="s">
        <v>202</v>
      </c>
    </row>
    <row r="71" spans="1:8" s="9" customFormat="1" ht="12.75" outlineLevel="1">
      <c r="A71" s="1" t="s">
        <v>75</v>
      </c>
      <c r="B71" s="2">
        <v>1</v>
      </c>
      <c r="C71" s="2" t="s">
        <v>178</v>
      </c>
      <c r="D71" s="2">
        <v>100</v>
      </c>
      <c r="E71" s="2" t="s">
        <v>179</v>
      </c>
      <c r="F71" s="1">
        <f>Cv_pT(B71,D71)</f>
        <v>1.5513972494644879</v>
      </c>
      <c r="G71" s="1" t="s">
        <v>224</v>
      </c>
      <c r="H71" s="2" t="s">
        <v>241</v>
      </c>
    </row>
    <row r="72" spans="1:8" s="9" customFormat="1" ht="12.75" outlineLevel="1">
      <c r="A72" s="1" t="s">
        <v>76</v>
      </c>
      <c r="B72" s="2">
        <v>1</v>
      </c>
      <c r="C72" s="2" t="s">
        <v>178</v>
      </c>
      <c r="D72" s="2">
        <v>200</v>
      </c>
      <c r="E72" s="2" t="s">
        <v>171</v>
      </c>
      <c r="F72" s="1">
        <f>Cv_ph(B72,D72)</f>
        <v>4.035176363579673</v>
      </c>
      <c r="G72" s="1" t="s">
        <v>224</v>
      </c>
      <c r="H72" s="2" t="s">
        <v>242</v>
      </c>
    </row>
    <row r="73" spans="1:8" s="9" customFormat="1" ht="12.75" outlineLevel="1">
      <c r="A73" s="1" t="s">
        <v>77</v>
      </c>
      <c r="B73" s="2">
        <v>1</v>
      </c>
      <c r="C73" s="2" t="s">
        <v>178</v>
      </c>
      <c r="D73" s="2">
        <v>1</v>
      </c>
      <c r="E73" s="2" t="s">
        <v>173</v>
      </c>
      <c r="F73" s="1">
        <f>Cv_ps(B73,D73)</f>
        <v>3.9029194681136645</v>
      </c>
      <c r="G73" s="1" t="s">
        <v>224</v>
      </c>
      <c r="H73" s="2" t="s">
        <v>243</v>
      </c>
    </row>
    <row r="74" spans="1:7" s="13" customFormat="1" ht="15">
      <c r="A74" s="25" t="s">
        <v>184</v>
      </c>
      <c r="F74" s="12"/>
      <c r="G74" s="12"/>
    </row>
    <row r="75" spans="1:8" s="9" customFormat="1" ht="12.75" outlineLevel="1">
      <c r="A75" s="1" t="s">
        <v>78</v>
      </c>
      <c r="B75" s="2">
        <v>1</v>
      </c>
      <c r="C75" s="2" t="s">
        <v>178</v>
      </c>
      <c r="D75" s="2"/>
      <c r="E75" s="2"/>
      <c r="F75" s="1">
        <f>wV_p(B75)</f>
        <v>472.0541571060476</v>
      </c>
      <c r="G75" s="1" t="s">
        <v>174</v>
      </c>
      <c r="H75" s="2" t="s">
        <v>205</v>
      </c>
    </row>
    <row r="76" spans="1:8" s="9" customFormat="1" ht="12.75" outlineLevel="1">
      <c r="A76" s="1" t="s">
        <v>79</v>
      </c>
      <c r="B76" s="2">
        <v>1</v>
      </c>
      <c r="C76" s="2" t="s">
        <v>178</v>
      </c>
      <c r="D76" s="2"/>
      <c r="E76" s="2"/>
      <c r="F76" s="1">
        <f>wL_p(B76)</f>
        <v>1545.4519475339648</v>
      </c>
      <c r="G76" s="1" t="s">
        <v>174</v>
      </c>
      <c r="H76" s="2" t="s">
        <v>204</v>
      </c>
    </row>
    <row r="77" spans="1:8" s="9" customFormat="1" ht="12.75" outlineLevel="1">
      <c r="A77" s="1" t="s">
        <v>80</v>
      </c>
      <c r="B77" s="2">
        <v>100</v>
      </c>
      <c r="C77" s="2" t="s">
        <v>179</v>
      </c>
      <c r="D77" s="2"/>
      <c r="E77" s="2"/>
      <c r="F77" s="1">
        <f>wV_T(B77)</f>
        <v>472.2559492389438</v>
      </c>
      <c r="G77" s="1" t="s">
        <v>174</v>
      </c>
      <c r="H77" s="2" t="s">
        <v>205</v>
      </c>
    </row>
    <row r="78" spans="1:8" s="9" customFormat="1" ht="12.75" outlineLevel="1">
      <c r="A78" s="1" t="s">
        <v>81</v>
      </c>
      <c r="B78" s="2">
        <v>100</v>
      </c>
      <c r="C78" s="2" t="s">
        <v>179</v>
      </c>
      <c r="D78" s="2"/>
      <c r="E78" s="2"/>
      <c r="F78" s="1">
        <f>wL_T(B78)</f>
        <v>1545.0922491938707</v>
      </c>
      <c r="G78" s="1" t="s">
        <v>174</v>
      </c>
      <c r="H78" s="2" t="s">
        <v>204</v>
      </c>
    </row>
    <row r="79" spans="1:8" s="9" customFormat="1" ht="12.75" outlineLevel="1">
      <c r="A79" s="1" t="s">
        <v>82</v>
      </c>
      <c r="B79" s="2">
        <v>1</v>
      </c>
      <c r="C79" s="2" t="s">
        <v>178</v>
      </c>
      <c r="D79" s="2">
        <v>100</v>
      </c>
      <c r="E79" s="2" t="s">
        <v>179</v>
      </c>
      <c r="F79" s="1">
        <f>w_pT(B79,D79)</f>
        <v>472.3375235248552</v>
      </c>
      <c r="G79" s="1" t="s">
        <v>174</v>
      </c>
      <c r="H79" s="2" t="s">
        <v>244</v>
      </c>
    </row>
    <row r="80" spans="1:8" s="9" customFormat="1" ht="12.75" outlineLevel="1">
      <c r="A80" s="1" t="s">
        <v>83</v>
      </c>
      <c r="B80" s="2">
        <v>1</v>
      </c>
      <c r="C80" s="2" t="s">
        <v>178</v>
      </c>
      <c r="D80" s="2">
        <v>200</v>
      </c>
      <c r="E80" s="2" t="s">
        <v>171</v>
      </c>
      <c r="F80" s="1">
        <f>w_ph(B80,D80)</f>
        <v>1542.6824750114695</v>
      </c>
      <c r="G80" s="1" t="s">
        <v>174</v>
      </c>
      <c r="H80" s="2" t="s">
        <v>245</v>
      </c>
    </row>
    <row r="81" spans="1:8" s="9" customFormat="1" ht="12.75" outlineLevel="1">
      <c r="A81" s="1" t="s">
        <v>84</v>
      </c>
      <c r="B81" s="2">
        <v>1</v>
      </c>
      <c r="C81" s="2" t="s">
        <v>178</v>
      </c>
      <c r="D81" s="2">
        <v>1</v>
      </c>
      <c r="E81" s="2" t="s">
        <v>173</v>
      </c>
      <c r="F81" s="1">
        <f>w_ps(B81,D81)</f>
        <v>1557.858535532216</v>
      </c>
      <c r="G81" s="1" t="s">
        <v>174</v>
      </c>
      <c r="H81" s="2" t="s">
        <v>114</v>
      </c>
    </row>
    <row r="82" spans="1:7" s="13" customFormat="1" ht="15">
      <c r="A82" s="25" t="s">
        <v>7</v>
      </c>
      <c r="F82" s="12"/>
      <c r="G82" s="12"/>
    </row>
    <row r="83" spans="1:7" s="9" customFormat="1" ht="11.25" outlineLevel="1">
      <c r="A83" s="9" t="s">
        <v>127</v>
      </c>
      <c r="F83" s="11"/>
      <c r="G83" s="11"/>
    </row>
    <row r="84" spans="1:7" s="9" customFormat="1" ht="11.25" outlineLevel="1">
      <c r="A84" s="9" t="s">
        <v>210</v>
      </c>
      <c r="F84" s="11"/>
      <c r="G84" s="11"/>
    </row>
    <row r="85" spans="1:8" s="9" customFormat="1" ht="12.75" outlineLevel="1">
      <c r="A85" s="1" t="s">
        <v>85</v>
      </c>
      <c r="B85" s="2">
        <v>1</v>
      </c>
      <c r="C85" s="2" t="s">
        <v>178</v>
      </c>
      <c r="D85" s="2">
        <v>100</v>
      </c>
      <c r="E85" s="2" t="s">
        <v>179</v>
      </c>
      <c r="F85" s="1">
        <f>my_pT(B85,D85)</f>
        <v>1.2270405707196506E-05</v>
      </c>
      <c r="G85" s="1" t="s">
        <v>207</v>
      </c>
      <c r="H85" s="2" t="s">
        <v>115</v>
      </c>
    </row>
    <row r="86" spans="1:8" s="9" customFormat="1" ht="12.75" outlineLevel="1">
      <c r="A86" s="1" t="s">
        <v>86</v>
      </c>
      <c r="B86" s="2">
        <v>1</v>
      </c>
      <c r="C86" s="2" t="s">
        <v>178</v>
      </c>
      <c r="D86" s="2">
        <v>100</v>
      </c>
      <c r="E86" s="2" t="s">
        <v>171</v>
      </c>
      <c r="F86" s="10">
        <f>my_ph(B86,D86)</f>
        <v>0.000914003770302108</v>
      </c>
      <c r="G86" s="1" t="s">
        <v>207</v>
      </c>
      <c r="H86" s="2" t="s">
        <v>116</v>
      </c>
    </row>
    <row r="87" spans="1:8" s="9" customFormat="1" ht="12.75" outlineLevel="1">
      <c r="A87" s="1" t="s">
        <v>87</v>
      </c>
      <c r="B87" s="2">
        <v>1</v>
      </c>
      <c r="C87" s="2" t="s">
        <v>178</v>
      </c>
      <c r="D87" s="2">
        <v>1</v>
      </c>
      <c r="E87" s="2" t="s">
        <v>173</v>
      </c>
      <c r="F87" s="10">
        <f>my_ps(B87,D87)</f>
        <v>0.00038422186564756434</v>
      </c>
      <c r="G87" s="1" t="s">
        <v>207</v>
      </c>
      <c r="H87" s="2" t="s">
        <v>117</v>
      </c>
    </row>
    <row r="88" spans="1:13" ht="18">
      <c r="A88" s="6" t="s">
        <v>2</v>
      </c>
      <c r="F88" s="10"/>
      <c r="H88" s="40"/>
      <c r="I88" s="7"/>
      <c r="J88" s="7"/>
      <c r="K88" s="7"/>
      <c r="L88" s="7"/>
      <c r="M88" s="7"/>
    </row>
    <row r="89" spans="1:13" ht="12.75" outlineLevel="1">
      <c r="A89" s="9" t="s">
        <v>8</v>
      </c>
      <c r="F89" s="10"/>
      <c r="H89" s="40"/>
      <c r="I89" s="7"/>
      <c r="J89" s="7"/>
      <c r="K89" s="7"/>
      <c r="L89" s="7"/>
      <c r="M89" s="7"/>
    </row>
    <row r="90" spans="1:13" ht="12.75" outlineLevel="1">
      <c r="A90" s="1" t="s">
        <v>88</v>
      </c>
      <c r="B90">
        <v>1</v>
      </c>
      <c r="C90" t="s">
        <v>178</v>
      </c>
      <c r="D90">
        <v>200</v>
      </c>
      <c r="E90" t="s">
        <v>179</v>
      </c>
      <c r="F90" s="10">
        <f>pr_pT(B90,D90)</f>
        <v>0.9578082143858805</v>
      </c>
      <c r="G90" s="1" t="s">
        <v>11</v>
      </c>
      <c r="H90" s="40"/>
      <c r="I90" s="7"/>
      <c r="J90" s="7"/>
      <c r="K90" s="7"/>
      <c r="L90" s="7"/>
      <c r="M90" s="7"/>
    </row>
    <row r="91" spans="1:13" ht="12.75" outlineLevel="1">
      <c r="A91" s="1" t="s">
        <v>89</v>
      </c>
      <c r="B91">
        <v>1</v>
      </c>
      <c r="C91" t="s">
        <v>178</v>
      </c>
      <c r="D91">
        <v>2875.4750649489024</v>
      </c>
      <c r="E91" t="s">
        <v>171</v>
      </c>
      <c r="F91" s="10">
        <f>pr_ph(B91,D91)</f>
        <v>0.9578082614835577</v>
      </c>
      <c r="G91" s="1" t="s">
        <v>11</v>
      </c>
      <c r="H91" s="40"/>
      <c r="I91" s="7"/>
      <c r="J91" s="7"/>
      <c r="K91" s="7"/>
      <c r="L91" s="7"/>
      <c r="M91" s="7"/>
    </row>
    <row r="92" spans="1:13" s="13" customFormat="1" ht="15">
      <c r="A92" s="25" t="s">
        <v>129</v>
      </c>
      <c r="F92" s="12"/>
      <c r="G92" s="12"/>
      <c r="H92" s="41"/>
      <c r="I92" s="41"/>
      <c r="J92" s="41"/>
      <c r="K92" s="41"/>
      <c r="L92" s="41"/>
      <c r="M92" s="41"/>
    </row>
    <row r="93" spans="1:7" s="9" customFormat="1" ht="11.25" outlineLevel="1">
      <c r="A93" s="9" t="s">
        <v>130</v>
      </c>
      <c r="F93" s="11"/>
      <c r="G93" s="11"/>
    </row>
    <row r="94" spans="1:8" s="9" customFormat="1" ht="12.75" outlineLevel="1">
      <c r="A94" s="1" t="s">
        <v>90</v>
      </c>
      <c r="B94" s="2">
        <v>100</v>
      </c>
      <c r="C94" s="2" t="s">
        <v>178</v>
      </c>
      <c r="D94" s="2"/>
      <c r="E94" s="2"/>
      <c r="F94" s="1">
        <f>tcL_p(B94)</f>
        <v>0.5245401945825722</v>
      </c>
      <c r="G94" s="1" t="s">
        <v>131</v>
      </c>
      <c r="H94" s="2" t="s">
        <v>132</v>
      </c>
    </row>
    <row r="95" spans="1:8" s="9" customFormat="1" ht="12.75" outlineLevel="1">
      <c r="A95" s="1" t="s">
        <v>91</v>
      </c>
      <c r="B95" s="2">
        <v>1</v>
      </c>
      <c r="C95" s="2" t="s">
        <v>178</v>
      </c>
      <c r="D95" s="2"/>
      <c r="E95" s="2"/>
      <c r="F95" s="1">
        <f>tcV_p(B95)</f>
        <v>0.024753667592350453</v>
      </c>
      <c r="G95" s="1" t="s">
        <v>131</v>
      </c>
      <c r="H95" s="2" t="s">
        <v>133</v>
      </c>
    </row>
    <row r="96" spans="1:8" s="9" customFormat="1" ht="12.75" outlineLevel="1">
      <c r="A96" s="1" t="s">
        <v>92</v>
      </c>
      <c r="B96" s="2">
        <v>100</v>
      </c>
      <c r="C96" s="2" t="s">
        <v>179</v>
      </c>
      <c r="D96" s="2"/>
      <c r="E96" s="2"/>
      <c r="F96" s="1">
        <f>tcL_T(B96)</f>
        <v>0.6777575115871504</v>
      </c>
      <c r="G96" s="1" t="s">
        <v>131</v>
      </c>
      <c r="H96" s="2" t="s">
        <v>132</v>
      </c>
    </row>
    <row r="97" spans="1:8" s="9" customFormat="1" ht="12.75" outlineLevel="1">
      <c r="A97" s="1" t="s">
        <v>93</v>
      </c>
      <c r="B97" s="2">
        <v>100</v>
      </c>
      <c r="C97" s="2" t="s">
        <v>179</v>
      </c>
      <c r="D97" s="2"/>
      <c r="E97" s="2"/>
      <c r="F97" s="1">
        <f>tcV_T(B97)</f>
        <v>0.024793871441017475</v>
      </c>
      <c r="G97" s="1" t="s">
        <v>131</v>
      </c>
      <c r="H97" s="2" t="s">
        <v>133</v>
      </c>
    </row>
    <row r="98" spans="1:8" s="9" customFormat="1" ht="12.75" outlineLevel="1">
      <c r="A98" s="1" t="s">
        <v>94</v>
      </c>
      <c r="B98" s="2">
        <v>100</v>
      </c>
      <c r="C98" s="2" t="s">
        <v>178</v>
      </c>
      <c r="D98" s="2">
        <v>350</v>
      </c>
      <c r="E98" s="2" t="s">
        <v>179</v>
      </c>
      <c r="F98" s="1">
        <f>tc_pt(B98,D98)</f>
        <v>0.06854530375253094</v>
      </c>
      <c r="G98" s="1" t="s">
        <v>131</v>
      </c>
      <c r="H98" s="2" t="s">
        <v>134</v>
      </c>
    </row>
    <row r="99" spans="1:8" s="9" customFormat="1" ht="12.75" outlineLevel="1">
      <c r="A99" s="1" t="s">
        <v>95</v>
      </c>
      <c r="B99" s="2">
        <v>1</v>
      </c>
      <c r="C99" s="2" t="s">
        <v>178</v>
      </c>
      <c r="D99" s="2">
        <v>350</v>
      </c>
      <c r="E99" s="2" t="s">
        <v>173</v>
      </c>
      <c r="F99" s="1">
        <f>tc_ph(B99,D99)</f>
        <v>0.6692963321574507</v>
      </c>
      <c r="G99" s="1" t="s">
        <v>131</v>
      </c>
      <c r="H99" s="2" t="s">
        <v>135</v>
      </c>
    </row>
    <row r="100" spans="1:8" s="9" customFormat="1" ht="12.75" outlineLevel="1">
      <c r="A100" s="1" t="s">
        <v>96</v>
      </c>
      <c r="B100" s="2">
        <v>100</v>
      </c>
      <c r="C100" s="2" t="s">
        <v>173</v>
      </c>
      <c r="D100" s="2">
        <v>0.34</v>
      </c>
      <c r="E100" s="2" t="s">
        <v>173</v>
      </c>
      <c r="F100" s="1">
        <f>tc_hs(B100,D100)</f>
        <v>0.6062831238489123</v>
      </c>
      <c r="G100" s="1" t="s">
        <v>131</v>
      </c>
      <c r="H100" s="2" t="s">
        <v>136</v>
      </c>
    </row>
    <row r="101" spans="1:8" s="9" customFormat="1" ht="15">
      <c r="A101" s="25" t="s">
        <v>137</v>
      </c>
      <c r="B101" s="2"/>
      <c r="C101" s="2"/>
      <c r="D101" s="2"/>
      <c r="E101" s="2"/>
      <c r="F101" s="1"/>
      <c r="G101" s="1"/>
      <c r="H101" s="2"/>
    </row>
    <row r="102" spans="1:7" s="9" customFormat="1" ht="11.25" outlineLevel="1">
      <c r="A102" s="9" t="s">
        <v>138</v>
      </c>
      <c r="F102" s="11"/>
      <c r="G102" s="11"/>
    </row>
    <row r="103" spans="1:8" s="9" customFormat="1" ht="12.75" outlineLevel="1">
      <c r="A103" s="1" t="s">
        <v>97</v>
      </c>
      <c r="B103" s="2">
        <v>100</v>
      </c>
      <c r="C103" s="2" t="s">
        <v>179</v>
      </c>
      <c r="D103" s="2"/>
      <c r="E103" s="2"/>
      <c r="F103" s="1">
        <f>st_T(B104)</f>
        <v>0.07550766158583765</v>
      </c>
      <c r="G103" s="1" t="s">
        <v>139</v>
      </c>
      <c r="H103" s="2" t="s">
        <v>141</v>
      </c>
    </row>
    <row r="104" spans="1:8" s="9" customFormat="1" ht="12.75" outlineLevel="1">
      <c r="A104" s="1" t="s">
        <v>98</v>
      </c>
      <c r="B104" s="2">
        <v>1</v>
      </c>
      <c r="C104" s="2" t="s">
        <v>178</v>
      </c>
      <c r="D104" s="2"/>
      <c r="E104" s="2"/>
      <c r="F104" s="1">
        <f>st_p(B104)</f>
        <v>0.05898778418085993</v>
      </c>
      <c r="G104" s="1" t="s">
        <v>139</v>
      </c>
      <c r="H104" s="2" t="s">
        <v>141</v>
      </c>
    </row>
    <row r="105" spans="1:7" s="13" customFormat="1" ht="15">
      <c r="A105" s="25" t="s">
        <v>206</v>
      </c>
      <c r="F105" s="12"/>
      <c r="G105" s="12"/>
    </row>
    <row r="106" spans="1:8" s="9" customFormat="1" ht="12.75" outlineLevel="1">
      <c r="A106" s="1" t="s">
        <v>99</v>
      </c>
      <c r="B106" s="2">
        <v>1</v>
      </c>
      <c r="C106" s="2" t="s">
        <v>178</v>
      </c>
      <c r="D106" s="2">
        <v>1000</v>
      </c>
      <c r="E106" s="2" t="s">
        <v>171</v>
      </c>
      <c r="F106" s="1">
        <f>x_ph(B106,D106)</f>
        <v>0.2580554239027952</v>
      </c>
      <c r="G106" s="1"/>
      <c r="H106" s="2" t="s">
        <v>118</v>
      </c>
    </row>
    <row r="107" spans="1:8" s="9" customFormat="1" ht="12.75" outlineLevel="1">
      <c r="A107" s="1" t="s">
        <v>100</v>
      </c>
      <c r="B107" s="2">
        <v>1</v>
      </c>
      <c r="C107" s="2" t="s">
        <v>178</v>
      </c>
      <c r="D107" s="2">
        <v>4</v>
      </c>
      <c r="E107" s="2" t="s">
        <v>173</v>
      </c>
      <c r="F107" s="1">
        <f>x_ps(B107,D107)</f>
        <v>0.4453979607323203</v>
      </c>
      <c r="G107" s="1"/>
      <c r="H107" s="2" t="s">
        <v>119</v>
      </c>
    </row>
    <row r="108" spans="1:7" s="13" customFormat="1" ht="15">
      <c r="A108" s="25" t="s">
        <v>126</v>
      </c>
      <c r="F108" s="12"/>
      <c r="G108" s="12"/>
    </row>
    <row r="109" spans="1:7" s="9" customFormat="1" ht="11.25" outlineLevel="1">
      <c r="A109" s="9" t="s">
        <v>216</v>
      </c>
      <c r="F109" s="11"/>
      <c r="G109" s="11"/>
    </row>
    <row r="110" spans="1:7" s="9" customFormat="1" ht="11.25" outlineLevel="1">
      <c r="A110" s="9" t="s">
        <v>209</v>
      </c>
      <c r="F110" s="11"/>
      <c r="G110" s="11"/>
    </row>
    <row r="111" spans="1:8" s="9" customFormat="1" ht="12.75" outlineLevel="1">
      <c r="A111" s="1" t="s">
        <v>101</v>
      </c>
      <c r="B111" s="2">
        <v>1</v>
      </c>
      <c r="C111" s="2" t="s">
        <v>178</v>
      </c>
      <c r="D111" s="2">
        <v>418</v>
      </c>
      <c r="E111" s="2" t="s">
        <v>171</v>
      </c>
      <c r="F111" s="8">
        <f>vx_ph(B111,D111)</f>
        <v>0.28849309343706725</v>
      </c>
      <c r="G111" s="1"/>
      <c r="H111" s="2" t="s">
        <v>120</v>
      </c>
    </row>
    <row r="112" spans="1:8" s="9" customFormat="1" ht="12.75" outlineLevel="1">
      <c r="A112" s="1" t="s">
        <v>102</v>
      </c>
      <c r="B112" s="2">
        <v>1</v>
      </c>
      <c r="C112" s="2" t="s">
        <v>178</v>
      </c>
      <c r="D112" s="2">
        <v>4</v>
      </c>
      <c r="E112" s="2" t="s">
        <v>173</v>
      </c>
      <c r="F112" s="8">
        <f>vx_ps(B112,D112)</f>
        <v>0.9992338266388803</v>
      </c>
      <c r="G112" s="1"/>
      <c r="H112" s="2" t="s">
        <v>121</v>
      </c>
    </row>
    <row r="113" spans="6:7" s="9" customFormat="1" ht="11.25">
      <c r="F113" s="11"/>
      <c r="G113" s="11"/>
    </row>
    <row r="114" ht="15">
      <c r="A114" s="25" t="s">
        <v>12</v>
      </c>
    </row>
    <row r="115" ht="12.75">
      <c r="A115" s="11" t="s">
        <v>113</v>
      </c>
    </row>
    <row r="116" ht="12.75">
      <c r="A116" s="9" t="s">
        <v>1</v>
      </c>
    </row>
    <row r="117" ht="12.75">
      <c r="A117" s="9" t="s">
        <v>112</v>
      </c>
    </row>
    <row r="118" ht="12.75">
      <c r="A118" s="11" t="s">
        <v>109</v>
      </c>
    </row>
    <row r="119" ht="12.75">
      <c r="A119" s="9" t="s">
        <v>111</v>
      </c>
    </row>
    <row r="120" ht="12.75">
      <c r="A120" s="9" t="s">
        <v>110</v>
      </c>
    </row>
    <row r="121" ht="12.75">
      <c r="A121" s="9" t="s">
        <v>108</v>
      </c>
    </row>
    <row r="122" ht="12.75">
      <c r="A122" s="11" t="s">
        <v>106</v>
      </c>
    </row>
    <row r="123" ht="12.75">
      <c r="A123" s="9" t="s">
        <v>107</v>
      </c>
    </row>
    <row r="124" ht="12.75">
      <c r="A124" s="11" t="s">
        <v>19</v>
      </c>
    </row>
    <row r="125" ht="12.75">
      <c r="A125" s="9" t="s">
        <v>105</v>
      </c>
    </row>
    <row r="126" ht="12.75">
      <c r="A126" s="9" t="s">
        <v>104</v>
      </c>
    </row>
    <row r="127" ht="10.5" customHeight="1">
      <c r="A127" s="9" t="s">
        <v>103</v>
      </c>
    </row>
    <row r="128" ht="11.25" customHeight="1">
      <c r="A128" s="9" t="s">
        <v>20</v>
      </c>
    </row>
    <row r="129" ht="11.25" customHeight="1">
      <c r="A129" s="11" t="s">
        <v>14</v>
      </c>
    </row>
    <row r="130" ht="12.75">
      <c r="A130" s="9" t="s">
        <v>17</v>
      </c>
    </row>
    <row r="131" ht="12.75">
      <c r="A131" s="9" t="s">
        <v>10</v>
      </c>
    </row>
    <row r="132" ht="12.75">
      <c r="A132" s="9" t="s">
        <v>15</v>
      </c>
    </row>
    <row r="133" ht="12.75">
      <c r="A133" s="9" t="s">
        <v>16</v>
      </c>
    </row>
    <row r="134" ht="12.75">
      <c r="A134" s="9" t="s">
        <v>18</v>
      </c>
    </row>
    <row r="135" ht="12.75">
      <c r="A135" s="11" t="s">
        <v>4</v>
      </c>
    </row>
    <row r="136" ht="12.75">
      <c r="A136" s="9" t="s">
        <v>10</v>
      </c>
    </row>
    <row r="137" ht="12.75">
      <c r="A137" s="9" t="s">
        <v>6</v>
      </c>
    </row>
    <row r="138" ht="12.75">
      <c r="A138" s="9" t="s">
        <v>5</v>
      </c>
    </row>
    <row r="139" ht="12.75">
      <c r="A139" s="9" t="s">
        <v>13</v>
      </c>
    </row>
    <row r="140" ht="12.75">
      <c r="A140" s="9" t="s">
        <v>9</v>
      </c>
    </row>
    <row r="141" ht="12.75">
      <c r="A141" s="11" t="s">
        <v>170</v>
      </c>
    </row>
    <row r="142" ht="12.75">
      <c r="A142" s="9" t="s">
        <v>166</v>
      </c>
    </row>
    <row r="143" ht="12.75">
      <c r="A143" s="9" t="s">
        <v>167</v>
      </c>
    </row>
    <row r="144" ht="12.75">
      <c r="A144" s="9" t="s">
        <v>168</v>
      </c>
    </row>
    <row r="145" ht="12.75">
      <c r="A145" s="11" t="s">
        <v>169</v>
      </c>
    </row>
    <row r="146" ht="12.75">
      <c r="A146" s="9" t="s">
        <v>122</v>
      </c>
    </row>
    <row r="147" ht="12.75">
      <c r="A147" s="9" t="s">
        <v>140</v>
      </c>
    </row>
    <row r="148" ht="12.75">
      <c r="A148" s="9" t="s">
        <v>123</v>
      </c>
    </row>
    <row r="149" ht="12.75">
      <c r="A149" s="9" t="s">
        <v>124</v>
      </c>
    </row>
    <row r="150" ht="12.75">
      <c r="A150" s="9" t="s">
        <v>125</v>
      </c>
    </row>
  </sheetData>
  <sheetProtection/>
  <hyperlinks>
    <hyperlink ref="E1" r:id="rId1" display="http://www.x-eng.com"/>
    <hyperlink ref="F4" r:id="rId2" display="magnus@x-eng.com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85" zoomScaleNormal="85" zoomScalePageLayoutView="0" workbookViewId="0" topLeftCell="A1">
      <selection activeCell="AF27" sqref="AF27:AF58"/>
    </sheetView>
  </sheetViews>
  <sheetFormatPr defaultColWidth="9.140625" defaultRowHeight="12.75"/>
  <cols>
    <col min="2" max="2" width="9.8515625" style="0" customWidth="1"/>
    <col min="3" max="3" width="10.00390625" style="0" customWidth="1"/>
    <col min="5" max="5" width="9.8515625" style="0" customWidth="1"/>
    <col min="10" max="10" width="11.57421875" style="0" customWidth="1"/>
    <col min="14" max="14" width="10.57421875" style="0" customWidth="1"/>
    <col min="29" max="29" width="11.140625" style="0" bestFit="1" customWidth="1"/>
    <col min="30" max="31" width="9.7109375" style="0" bestFit="1" customWidth="1"/>
    <col min="34" max="34" width="10.28125" style="0" bestFit="1" customWidth="1"/>
    <col min="35" max="35" width="9.57421875" style="0" bestFit="1" customWidth="1"/>
    <col min="36" max="36" width="9.57421875" style="0" customWidth="1"/>
    <col min="37" max="37" width="8.140625" style="0" customWidth="1"/>
    <col min="38" max="38" width="8.28125" style="0" bestFit="1" customWidth="1"/>
    <col min="39" max="39" width="7.8515625" style="0" bestFit="1" customWidth="1"/>
    <col min="40" max="40" width="9.140625" style="0" bestFit="1" customWidth="1"/>
    <col min="41" max="41" width="11.28125" style="0" bestFit="1" customWidth="1"/>
    <col min="42" max="42" width="10.57421875" style="0" customWidth="1"/>
  </cols>
  <sheetData>
    <row r="1" spans="1:3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5.5">
      <c r="A2" s="127" t="s">
        <v>308</v>
      </c>
      <c r="B2" s="127"/>
      <c r="C2" s="127"/>
      <c r="D2" s="2"/>
      <c r="E2" s="2"/>
      <c r="F2" s="2"/>
      <c r="G2" s="2"/>
      <c r="H2" s="2"/>
      <c r="I2" s="42"/>
      <c r="J2" s="43" t="s">
        <v>246</v>
      </c>
      <c r="K2" s="43" t="s">
        <v>247</v>
      </c>
      <c r="L2" s="43" t="s">
        <v>248</v>
      </c>
      <c r="M2" s="43" t="s">
        <v>249</v>
      </c>
      <c r="N2" s="43" t="s">
        <v>250</v>
      </c>
      <c r="O2" s="44" t="s">
        <v>251</v>
      </c>
      <c r="P2" s="44"/>
      <c r="Q2" s="78"/>
      <c r="R2" s="6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127"/>
      <c r="B3" s="127"/>
      <c r="C3" s="127"/>
      <c r="D3" s="2"/>
      <c r="E3" s="2"/>
      <c r="F3" s="2"/>
      <c r="G3" s="2"/>
      <c r="H3" s="2"/>
      <c r="I3" s="46"/>
      <c r="J3" s="47">
        <v>1</v>
      </c>
      <c r="K3" s="79">
        <v>0.05</v>
      </c>
      <c r="L3" s="80">
        <f>Tsat_p(K3)</f>
        <v>32.875489523760166</v>
      </c>
      <c r="M3" s="80">
        <f>hL_p(K3)</f>
        <v>137.76511898849057</v>
      </c>
      <c r="N3" s="81">
        <f>sL_p(K3)</f>
        <v>0.47625378950510244</v>
      </c>
      <c r="O3" s="82" t="s">
        <v>252</v>
      </c>
      <c r="P3" s="83"/>
      <c r="Q3" s="129" t="s">
        <v>253</v>
      </c>
      <c r="R3" s="13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127"/>
      <c r="B4" s="127"/>
      <c r="C4" s="127"/>
      <c r="D4" s="2"/>
      <c r="E4" s="2"/>
      <c r="F4" s="2"/>
      <c r="G4" s="2"/>
      <c r="H4" s="2"/>
      <c r="I4" s="46"/>
      <c r="J4" s="47">
        <v>2</v>
      </c>
      <c r="K4" s="50">
        <v>150</v>
      </c>
      <c r="L4" s="75">
        <f>T_ps(K4,N4)</f>
        <v>33.241723205213304</v>
      </c>
      <c r="M4" s="75">
        <f>h_ps(K4,N4)</f>
        <v>152.778053586562</v>
      </c>
      <c r="N4" s="76">
        <f>N3</f>
        <v>0.47625378950510244</v>
      </c>
      <c r="O4" s="84" t="s">
        <v>252</v>
      </c>
      <c r="P4" s="83"/>
      <c r="Q4" s="85"/>
      <c r="R4" s="6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27"/>
      <c r="B5" s="127"/>
      <c r="C5" s="127"/>
      <c r="D5" s="2"/>
      <c r="E5" s="2"/>
      <c r="F5" s="2"/>
      <c r="G5" s="2"/>
      <c r="H5" s="2"/>
      <c r="I5" s="46"/>
      <c r="J5" s="47">
        <v>5</v>
      </c>
      <c r="K5" s="50">
        <v>150</v>
      </c>
      <c r="L5" s="51">
        <v>200</v>
      </c>
      <c r="M5" s="75">
        <f>h_pt(K5,L5)</f>
        <v>858.1170925423961</v>
      </c>
      <c r="N5" s="76">
        <f>s_pT(K5,L5)</f>
        <v>2.3102224365081447</v>
      </c>
      <c r="O5" s="84" t="s">
        <v>252</v>
      </c>
      <c r="P5" s="83"/>
      <c r="Q5" s="64"/>
      <c r="R5" s="6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27"/>
      <c r="B6" s="127"/>
      <c r="C6" s="127"/>
      <c r="D6" s="2"/>
      <c r="E6" s="2"/>
      <c r="F6" s="2"/>
      <c r="G6" s="2"/>
      <c r="H6" s="2"/>
      <c r="I6" s="46"/>
      <c r="J6" s="47">
        <v>6</v>
      </c>
      <c r="K6" s="52">
        <v>150</v>
      </c>
      <c r="L6" s="53">
        <v>520</v>
      </c>
      <c r="M6" s="75">
        <f>h_pt(K6,L6)</f>
        <v>3367.7855983753843</v>
      </c>
      <c r="N6" s="76">
        <f>s_pT(K6,L6)</f>
        <v>6.420702177085119</v>
      </c>
      <c r="O6" s="51">
        <v>100</v>
      </c>
      <c r="P6" s="83"/>
      <c r="Q6" s="86" t="str">
        <f>ROUND(SQRT((L5+273.15)*(L4+273.15))-273.15,1)&amp;" °C"</f>
        <v>107.6 °C</v>
      </c>
      <c r="R6" s="87" t="str">
        <f>ROUND(T_ph(K5,(M4+M5)/2),1)&amp;" °C"</f>
        <v>117.9 °C</v>
      </c>
      <c r="S6" s="2"/>
      <c r="T6" s="90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127"/>
      <c r="B7" s="127"/>
      <c r="C7" s="127"/>
      <c r="D7" s="2"/>
      <c r="E7" s="2"/>
      <c r="F7" s="2"/>
      <c r="G7" s="2"/>
      <c r="H7" s="2"/>
      <c r="I7" s="46"/>
      <c r="J7" s="47">
        <v>7</v>
      </c>
      <c r="K7" s="52">
        <v>0.05</v>
      </c>
      <c r="L7" s="75">
        <f>Tsat_p(K7)</f>
        <v>32.875489523760166</v>
      </c>
      <c r="M7" s="75">
        <f>h_ps(K7,N7)</f>
        <v>1956.9133190145014</v>
      </c>
      <c r="N7" s="76">
        <f>N6</f>
        <v>6.420702177085119</v>
      </c>
      <c r="O7" s="84" t="s">
        <v>252</v>
      </c>
      <c r="P7" s="83"/>
      <c r="Q7" s="87" t="s">
        <v>254</v>
      </c>
      <c r="R7" s="87" t="s">
        <v>255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127"/>
      <c r="B8" s="127"/>
      <c r="C8" s="127"/>
      <c r="D8" s="2"/>
      <c r="E8" s="2"/>
      <c r="F8" s="2"/>
      <c r="G8" s="2"/>
      <c r="H8" s="2"/>
      <c r="I8" s="46"/>
      <c r="J8" s="2"/>
      <c r="K8" s="2"/>
      <c r="L8" s="2"/>
      <c r="M8" s="2"/>
      <c r="N8" s="2"/>
      <c r="O8" s="2"/>
      <c r="P8" s="54"/>
      <c r="Q8" s="55"/>
      <c r="R8" s="5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127"/>
      <c r="B9" s="127"/>
      <c r="C9" s="127"/>
      <c r="D9" s="2"/>
      <c r="E9" s="2"/>
      <c r="F9" s="2"/>
      <c r="G9" s="2"/>
      <c r="H9" s="2"/>
      <c r="I9" s="46"/>
      <c r="J9" s="56"/>
      <c r="K9" s="57"/>
      <c r="L9" s="58"/>
      <c r="M9" s="57"/>
      <c r="N9" s="57"/>
      <c r="O9" s="59"/>
      <c r="P9" s="48"/>
      <c r="Q9" s="45"/>
      <c r="R9" s="4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127"/>
      <c r="B10" s="127"/>
      <c r="C10" s="127"/>
      <c r="D10" s="2"/>
      <c r="E10" s="2"/>
      <c r="F10" s="2"/>
      <c r="G10" s="2"/>
      <c r="H10" s="2"/>
      <c r="I10" s="46"/>
      <c r="J10" s="124" t="s">
        <v>300</v>
      </c>
      <c r="K10" s="91">
        <v>500</v>
      </c>
      <c r="L10" s="2"/>
      <c r="M10" s="2"/>
      <c r="N10" s="2"/>
      <c r="O10" s="2"/>
      <c r="P10" s="48"/>
      <c r="Q10" s="45"/>
      <c r="R10" s="4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127"/>
      <c r="B11" s="127"/>
      <c r="C11" s="127"/>
      <c r="D11" s="2"/>
      <c r="E11" s="2"/>
      <c r="F11" s="2"/>
      <c r="G11" s="2"/>
      <c r="H11" s="2"/>
      <c r="I11" s="46"/>
      <c r="J11" s="125" t="s">
        <v>301</v>
      </c>
      <c r="K11" s="92">
        <v>2</v>
      </c>
      <c r="L11" s="58"/>
      <c r="M11" s="57"/>
      <c r="N11" s="57"/>
      <c r="O11" s="59"/>
      <c r="P11" s="48"/>
      <c r="Q11" s="45"/>
      <c r="R11" s="4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127"/>
      <c r="B12" s="127"/>
      <c r="C12" s="127"/>
      <c r="D12" s="2"/>
      <c r="E12" s="2"/>
      <c r="F12" s="2"/>
      <c r="G12" s="2"/>
      <c r="H12" s="2"/>
      <c r="I12" s="46"/>
      <c r="J12" s="56"/>
      <c r="K12" s="57"/>
      <c r="L12" s="57"/>
      <c r="M12" s="57"/>
      <c r="N12" s="57"/>
      <c r="O12" s="59"/>
      <c r="P12" s="48"/>
      <c r="Q12" s="45"/>
      <c r="R12" s="4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127"/>
      <c r="B13" s="127"/>
      <c r="C13" s="127"/>
      <c r="D13" s="2"/>
      <c r="E13" s="2"/>
      <c r="F13" s="2"/>
      <c r="G13" s="2"/>
      <c r="H13" s="2"/>
      <c r="I13" s="46"/>
      <c r="J13" s="56"/>
      <c r="K13" s="57"/>
      <c r="L13" s="57"/>
      <c r="M13" s="57"/>
      <c r="N13" s="57"/>
      <c r="O13" s="59"/>
      <c r="P13" s="48"/>
      <c r="Q13" s="45"/>
      <c r="R13" s="45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127"/>
      <c r="B14" s="127"/>
      <c r="C14" s="127"/>
      <c r="D14" s="2"/>
      <c r="E14" s="2"/>
      <c r="F14" s="2"/>
      <c r="G14" s="2"/>
      <c r="H14" s="2"/>
      <c r="I14" s="46"/>
      <c r="J14" s="42"/>
      <c r="K14" s="60"/>
      <c r="L14" s="61"/>
      <c r="M14" s="42"/>
      <c r="N14" s="42"/>
      <c r="O14" s="62"/>
      <c r="P14" s="6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>
      <c r="A15" s="128"/>
      <c r="B15" s="128"/>
      <c r="C15" s="128"/>
      <c r="D15" s="2"/>
      <c r="E15" s="2"/>
      <c r="F15" s="2"/>
      <c r="G15" s="2"/>
      <c r="H15" s="2"/>
      <c r="I15" s="40"/>
      <c r="J15" s="40"/>
      <c r="K15" s="40"/>
      <c r="L15" s="40"/>
      <c r="M15" s="40"/>
      <c r="N15" s="40"/>
      <c r="O15" s="4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128"/>
      <c r="B16" s="128"/>
      <c r="C16" s="128"/>
      <c r="D16" s="131"/>
      <c r="E16" s="131"/>
      <c r="F16" s="131"/>
      <c r="G16" s="131"/>
      <c r="H16" s="131"/>
      <c r="I16" s="131"/>
      <c r="J16" s="64"/>
      <c r="K16" s="45"/>
      <c r="L16" s="131"/>
      <c r="M16" s="131"/>
      <c r="N16" s="131"/>
      <c r="O16" s="64"/>
      <c r="P16" s="64"/>
      <c r="Q16" s="64"/>
      <c r="R16" s="6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s="128"/>
      <c r="B17" s="128"/>
      <c r="C17" s="128"/>
      <c r="D17" s="2"/>
      <c r="E17" s="2"/>
      <c r="F17" s="2"/>
      <c r="G17" s="65"/>
      <c r="H17" s="65"/>
      <c r="I17" s="65"/>
      <c r="J17" s="6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2"/>
      <c r="B18" s="2"/>
      <c r="C18" s="63"/>
      <c r="D18" s="2"/>
      <c r="E18" s="2"/>
      <c r="F18" s="2"/>
      <c r="G18" s="6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s="67" t="s">
        <v>256</v>
      </c>
      <c r="B19" s="68" t="s">
        <v>257</v>
      </c>
      <c r="C19" s="69"/>
      <c r="D19" s="70"/>
      <c r="E19" s="70"/>
      <c r="F19" s="70"/>
      <c r="G19" s="71"/>
      <c r="H19" s="70"/>
      <c r="I19" s="70"/>
      <c r="J19" s="71"/>
      <c r="K19" s="70"/>
      <c r="L19" s="2"/>
      <c r="M19" s="2"/>
      <c r="N19" s="93"/>
      <c r="O19" s="93"/>
      <c r="P19" s="93"/>
      <c r="Q19" s="9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>
      <c r="A20" s="72"/>
      <c r="B20" s="126" t="s">
        <v>309</v>
      </c>
      <c r="C20" s="126"/>
      <c r="D20" s="126"/>
      <c r="E20" s="126"/>
      <c r="F20" s="126"/>
      <c r="G20" s="126"/>
      <c r="H20" s="126"/>
      <c r="I20" s="126"/>
      <c r="J20" s="126"/>
      <c r="K20" s="12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73.5" customHeight="1">
      <c r="A21" s="72"/>
      <c r="B21" s="134" t="s">
        <v>310</v>
      </c>
      <c r="C21" s="134"/>
      <c r="D21" s="134"/>
      <c r="E21" s="134"/>
      <c r="F21" s="134"/>
      <c r="G21" s="134"/>
      <c r="H21" s="134"/>
      <c r="I21" s="134"/>
      <c r="J21" s="134"/>
      <c r="K21" s="13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>
      <c r="A22" s="2"/>
      <c r="B22" s="2"/>
      <c r="C22" s="7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2"/>
      <c r="B23" s="2"/>
      <c r="C23" s="7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41" ht="12.75">
      <c r="A24" s="2"/>
      <c r="B24" s="2"/>
      <c r="C24" s="135" t="s">
        <v>302</v>
      </c>
      <c r="D24" s="135"/>
      <c r="E24" s="135"/>
      <c r="F24" s="135"/>
      <c r="G24" s="135"/>
      <c r="H24" s="135"/>
      <c r="I24" s="135"/>
      <c r="J24" s="2"/>
      <c r="K24" s="132" t="s">
        <v>303</v>
      </c>
      <c r="L24" s="132"/>
      <c r="M24" s="132"/>
      <c r="N24" s="132"/>
      <c r="O24" s="132"/>
      <c r="P24" s="132"/>
      <c r="Q24" s="132"/>
      <c r="R24" s="132" t="s">
        <v>304</v>
      </c>
      <c r="S24" s="132"/>
      <c r="T24" s="132"/>
      <c r="U24" s="132"/>
      <c r="V24" s="132"/>
      <c r="W24" s="132"/>
      <c r="X24" s="132"/>
      <c r="Y24" s="132"/>
      <c r="Z24" s="132"/>
      <c r="AA24" s="132" t="s">
        <v>305</v>
      </c>
      <c r="AB24" s="132"/>
      <c r="AC24" s="132"/>
      <c r="AD24" s="132"/>
      <c r="AE24" s="132"/>
      <c r="AF24" s="133" t="s">
        <v>306</v>
      </c>
      <c r="AG24" s="133"/>
      <c r="AK24" s="132" t="s">
        <v>307</v>
      </c>
      <c r="AL24" s="132"/>
      <c r="AM24" s="132"/>
      <c r="AN24" s="132"/>
      <c r="AO24" s="132"/>
    </row>
    <row r="25" spans="1:42" ht="12.75">
      <c r="A25" s="2"/>
      <c r="B25" s="74" t="s">
        <v>286</v>
      </c>
      <c r="C25" s="94" t="s">
        <v>260</v>
      </c>
      <c r="D25" s="95" t="s">
        <v>259</v>
      </c>
      <c r="E25" s="95" t="s">
        <v>262</v>
      </c>
      <c r="F25" s="95" t="s">
        <v>291</v>
      </c>
      <c r="G25" s="95" t="s">
        <v>258</v>
      </c>
      <c r="H25" s="95" t="s">
        <v>287</v>
      </c>
      <c r="I25" s="96" t="s">
        <v>292</v>
      </c>
      <c r="J25" s="108" t="s">
        <v>261</v>
      </c>
      <c r="K25" s="94" t="s">
        <v>264</v>
      </c>
      <c r="L25" s="95" t="s">
        <v>263</v>
      </c>
      <c r="M25" s="95" t="s">
        <v>265</v>
      </c>
      <c r="N25" s="95" t="s">
        <v>291</v>
      </c>
      <c r="O25" s="95" t="s">
        <v>288</v>
      </c>
      <c r="P25" s="95" t="s">
        <v>287</v>
      </c>
      <c r="Q25" s="96" t="s">
        <v>292</v>
      </c>
      <c r="R25" s="94" t="s">
        <v>272</v>
      </c>
      <c r="S25" s="95" t="s">
        <v>290</v>
      </c>
      <c r="T25" s="95" t="s">
        <v>289</v>
      </c>
      <c r="U25" s="95" t="s">
        <v>269</v>
      </c>
      <c r="V25" s="95" t="s">
        <v>266</v>
      </c>
      <c r="W25" s="95" t="s">
        <v>270</v>
      </c>
      <c r="X25" s="95" t="s">
        <v>271</v>
      </c>
      <c r="Y25" s="95" t="s">
        <v>267</v>
      </c>
      <c r="Z25" s="112" t="s">
        <v>268</v>
      </c>
      <c r="AA25" s="94" t="s">
        <v>273</v>
      </c>
      <c r="AB25" s="95" t="s">
        <v>293</v>
      </c>
      <c r="AC25" s="95" t="s">
        <v>295</v>
      </c>
      <c r="AD25" s="95" t="s">
        <v>294</v>
      </c>
      <c r="AE25" s="112" t="s">
        <v>296</v>
      </c>
      <c r="AF25" s="94" t="s">
        <v>274</v>
      </c>
      <c r="AG25" s="112" t="s">
        <v>275</v>
      </c>
      <c r="AH25" s="94" t="s">
        <v>276</v>
      </c>
      <c r="AI25" s="95" t="s">
        <v>277</v>
      </c>
      <c r="AJ25" s="112" t="s">
        <v>297</v>
      </c>
      <c r="AK25" s="94" t="s">
        <v>278</v>
      </c>
      <c r="AL25" s="95" t="s">
        <v>279</v>
      </c>
      <c r="AM25" s="95" t="s">
        <v>298</v>
      </c>
      <c r="AN25" s="95" t="s">
        <v>299</v>
      </c>
      <c r="AO25" s="112" t="s">
        <v>280</v>
      </c>
      <c r="AP25" s="108" t="s">
        <v>281</v>
      </c>
    </row>
    <row r="26" spans="1:43" ht="12.75">
      <c r="A26" s="2"/>
      <c r="B26" s="74" t="s">
        <v>179</v>
      </c>
      <c r="C26" s="97" t="s">
        <v>178</v>
      </c>
      <c r="D26" s="98" t="s">
        <v>179</v>
      </c>
      <c r="E26" s="98" t="s">
        <v>179</v>
      </c>
      <c r="F26" s="98" t="s">
        <v>179</v>
      </c>
      <c r="G26" s="98" t="s">
        <v>179</v>
      </c>
      <c r="H26" s="98" t="s">
        <v>282</v>
      </c>
      <c r="I26" s="99" t="s">
        <v>11</v>
      </c>
      <c r="J26" s="109" t="s">
        <v>179</v>
      </c>
      <c r="K26" s="97" t="s">
        <v>178</v>
      </c>
      <c r="L26" s="98" t="s">
        <v>179</v>
      </c>
      <c r="M26" s="98" t="s">
        <v>179</v>
      </c>
      <c r="N26" s="98" t="s">
        <v>179</v>
      </c>
      <c r="O26" s="98" t="s">
        <v>179</v>
      </c>
      <c r="P26" s="98" t="s">
        <v>282</v>
      </c>
      <c r="Q26" s="99" t="s">
        <v>11</v>
      </c>
      <c r="R26" s="113" t="s">
        <v>171</v>
      </c>
      <c r="S26" s="98" t="s">
        <v>171</v>
      </c>
      <c r="T26" s="98" t="s">
        <v>171</v>
      </c>
      <c r="U26" s="98" t="s">
        <v>171</v>
      </c>
      <c r="V26" s="98" t="s">
        <v>171</v>
      </c>
      <c r="W26" s="98" t="s">
        <v>171</v>
      </c>
      <c r="X26" s="98" t="s">
        <v>171</v>
      </c>
      <c r="Y26" s="98" t="s">
        <v>171</v>
      </c>
      <c r="Z26" s="114" t="s">
        <v>171</v>
      </c>
      <c r="AA26" s="97" t="s">
        <v>282</v>
      </c>
      <c r="AB26" s="98" t="s">
        <v>171</v>
      </c>
      <c r="AC26" s="98" t="s">
        <v>282</v>
      </c>
      <c r="AD26" s="98" t="s">
        <v>282</v>
      </c>
      <c r="AE26" s="114" t="s">
        <v>282</v>
      </c>
      <c r="AF26" s="97" t="s">
        <v>283</v>
      </c>
      <c r="AG26" s="114" t="s">
        <v>283</v>
      </c>
      <c r="AH26" s="97" t="s">
        <v>284</v>
      </c>
      <c r="AI26" s="98" t="s">
        <v>284</v>
      </c>
      <c r="AJ26" s="114" t="s">
        <v>284</v>
      </c>
      <c r="AK26" s="97" t="s">
        <v>285</v>
      </c>
      <c r="AL26" s="98" t="s">
        <v>285</v>
      </c>
      <c r="AM26" s="98" t="s">
        <v>285</v>
      </c>
      <c r="AN26" s="98" t="s">
        <v>285</v>
      </c>
      <c r="AO26" s="114" t="s">
        <v>285</v>
      </c>
      <c r="AP26" s="121" t="s">
        <v>208</v>
      </c>
      <c r="AQ26" s="89"/>
    </row>
    <row r="27" spans="1:42" ht="12.75">
      <c r="A27" s="2"/>
      <c r="B27" s="49">
        <v>40</v>
      </c>
      <c r="C27" s="100">
        <f>psat_t(D27)</f>
        <v>0.07480318849221507</v>
      </c>
      <c r="D27" s="101">
        <f>(G27-$L$4)/I27+$L$4</f>
        <v>40.24220996075183</v>
      </c>
      <c r="E27" s="101">
        <f>IF(D27&gt;J27,T_ps(C27,$N$6),D27)</f>
        <v>40.24220996075183</v>
      </c>
      <c r="F27" s="101">
        <f>E27-D27</f>
        <v>0</v>
      </c>
      <c r="G27" s="101">
        <f>T_ph($K$4,R27)</f>
        <v>39.98725675893968</v>
      </c>
      <c r="H27" s="102">
        <f>(R27-$M$4)/(G27-$L$4)</f>
        <v>4.144220086234035</v>
      </c>
      <c r="I27" s="103">
        <f aca="true" t="shared" si="0" ref="I27:I58">1-EXP(-$K$11*$K$10/H27/($O$6-AF27-AG27))</f>
        <v>0.9635806465014107</v>
      </c>
      <c r="J27" s="110">
        <f>Tsat_s($N$6)</f>
        <v>201.28604916380868</v>
      </c>
      <c r="K27" s="100">
        <f>psat_t(L27)</f>
        <v>17.02500424862176</v>
      </c>
      <c r="L27" s="101">
        <f>(O27-B27)/Q27+B27</f>
        <v>204.38636657196375</v>
      </c>
      <c r="M27" s="101">
        <f>IF(L27&gt;J27,T_ps(K27,$N$6),L27)</f>
        <v>208.06557178842223</v>
      </c>
      <c r="N27" s="101">
        <f>M27-L27</f>
        <v>3.6792052164584845</v>
      </c>
      <c r="O27" s="101">
        <f>T_ph($K$4,T27)</f>
        <v>197.66245488180454</v>
      </c>
      <c r="P27" s="101">
        <f>(T27-S27)/(O27-B27)</f>
        <v>4.230289465365762</v>
      </c>
      <c r="Q27" s="103">
        <f aca="true" t="shared" si="1" ref="Q27:Q58">1-EXP(-$K$11*$K$10/P27/($O$6-AG27))</f>
        <v>0.9590969018272225</v>
      </c>
      <c r="R27" s="100">
        <f aca="true" t="shared" si="2" ref="R27:R58">(S27*($O$6-AG27)-X27*AF27)/($O$6-AG27-AF27)</f>
        <v>180.7330292322805</v>
      </c>
      <c r="S27" s="101">
        <f>h_pt($K$4,B27)</f>
        <v>180.7761515931251</v>
      </c>
      <c r="T27" s="101">
        <f aca="true" t="shared" si="3" ref="T27:T58">($M$5*$O$6-Z27*AG27)/($O$6-AG27)</f>
        <v>847.7339735633276</v>
      </c>
      <c r="U27" s="101">
        <f>h_ps(C27,$N$6)</f>
        <v>2000.340038200539</v>
      </c>
      <c r="V27" s="101">
        <f>h_ps(K27,$N$6)</f>
        <v>2805.5870957432467</v>
      </c>
      <c r="W27" s="101">
        <f>hL_p(C27)</f>
        <v>168.55327493014065</v>
      </c>
      <c r="X27" s="101">
        <f>h_ps($K$5,AD27)</f>
        <v>183.60623344143258</v>
      </c>
      <c r="Y27" s="101">
        <f>hL_p(K27)</f>
        <v>872.2125798483245</v>
      </c>
      <c r="Z27" s="103">
        <f>h_ps($K$5,AE27)</f>
        <v>887.5950810453795</v>
      </c>
      <c r="AA27" s="115">
        <f>s_ph($K$4,R27)</f>
        <v>0.5664287157469593</v>
      </c>
      <c r="AB27" s="116">
        <f>s_pT($K$4,B27)</f>
        <v>0.5665973344608748</v>
      </c>
      <c r="AC27" s="116">
        <f>s_ph($K$4,T27)</f>
        <v>2.288346663895067</v>
      </c>
      <c r="AD27" s="116">
        <f aca="true" t="shared" si="4" ref="AD27:AD58">sL_p(C27)</f>
        <v>0.5756604496932606</v>
      </c>
      <c r="AE27" s="117">
        <f aca="true" t="shared" si="5" ref="AE27:AE58">sL_p(K27)</f>
        <v>2.3721352645611518</v>
      </c>
      <c r="AF27" s="100">
        <f>((R27-$M$4)*($O$6)-(R27-$M$4)*(AG27))/(U27-W27+X27-$M$4)</f>
        <v>1.1099017081537645</v>
      </c>
      <c r="AG27" s="103">
        <f>($M$5-S27)*$O$6/(V27-Y27+T27-S27)</f>
        <v>26.048245106445453</v>
      </c>
      <c r="AH27" s="100">
        <f aca="true" t="shared" si="6" ref="AH27:AH58">($O$6*($M$6-V27)+($O$6-AG27)*(V27-U27)+($O$6-AG27-AF27)*(U27-$M$7))*10^-3</f>
        <v>118.9325659946411</v>
      </c>
      <c r="AI27" s="101">
        <f>$O$6*($M$6-$M$5)*10^-3</f>
        <v>250.9668505832988</v>
      </c>
      <c r="AJ27" s="117">
        <f aca="true" t="shared" si="7" ref="AJ27:AJ58">(($M$4-$M$3)*($O$6-AG27-AF27)+(X27-W27)*AF27+(Z27-Y27)*AG27)*10^-3</f>
        <v>1.5109644437702745</v>
      </c>
      <c r="AK27" s="100">
        <f aca="true" t="shared" si="8" ref="AK27:AK58">(AC27-AA27)*($O$6-AG27)-($N$6-AE27)*AG27</f>
        <v>21.880790780991845</v>
      </c>
      <c r="AL27" s="101">
        <f aca="true" t="shared" si="9" ref="AL27:AL58">(AA27-$N$4)*($O$6-AG27-AF27)-($N$6-AD27)*AF27</f>
        <v>0.08108694085142609</v>
      </c>
      <c r="AM27" s="101">
        <f>($N$5-AC27)*($O$6-AG27)-($N$5-AE27)*AG27</f>
        <v>3.230472294747387</v>
      </c>
      <c r="AN27" s="101">
        <f>(AB27-AA27)*($O$6-AG27-AF27)-(AB27-AD27)*AF27</f>
        <v>0.02234166668096272</v>
      </c>
      <c r="AO27" s="103">
        <f>SUM(AK27:AN27)</f>
        <v>25.21469168327162</v>
      </c>
      <c r="AP27" s="122">
        <f>(AH27-AJ27)/AI27</f>
        <v>0.4678769378424233</v>
      </c>
    </row>
    <row r="28" spans="1:42" ht="12.75">
      <c r="A28" s="2"/>
      <c r="B28" s="49">
        <v>45</v>
      </c>
      <c r="C28" s="100">
        <f aca="true" t="shared" si="10" ref="C28:C58">psat_t(D28)</f>
        <v>0.09799147649500296</v>
      </c>
      <c r="D28" s="101">
        <f aca="true" t="shared" si="11" ref="D28:D58">(G28-$L$4)/I28+$L$4</f>
        <v>45.41125750005365</v>
      </c>
      <c r="E28" s="101">
        <f aca="true" t="shared" si="12" ref="E28:E58">IF(D28&gt;J28,T_ps(C28,$N$6),D28)</f>
        <v>45.41125750005365</v>
      </c>
      <c r="F28" s="101">
        <f aca="true" t="shared" si="13" ref="F28:F58">E28-D28</f>
        <v>0</v>
      </c>
      <c r="G28" s="101">
        <f aca="true" t="shared" si="14" ref="G28:G58">T_ph($K$4,R28)</f>
        <v>44.97203095254309</v>
      </c>
      <c r="H28" s="102">
        <f aca="true" t="shared" si="15" ref="H28:H58">(R28-$M$4)/(G28-$L$4)</f>
        <v>4.144841899970653</v>
      </c>
      <c r="I28" s="103">
        <f t="shared" si="0"/>
        <v>0.9639076946685805</v>
      </c>
      <c r="J28" s="110">
        <f aca="true" t="shared" si="16" ref="J28:J58">Tsat_s($N$6)</f>
        <v>201.28604916380868</v>
      </c>
      <c r="K28" s="100">
        <f aca="true" t="shared" si="17" ref="K28:K58">psat_t(L28)</f>
        <v>17.038657397198598</v>
      </c>
      <c r="L28" s="101">
        <f aca="true" t="shared" si="18" ref="L28:L58">(O28-B28)/Q28+B28</f>
        <v>204.42547113051512</v>
      </c>
      <c r="M28" s="101">
        <f aca="true" t="shared" si="19" ref="M28:M58">IF(L28&gt;J28,T_ps(K28,$N$6),L28)</f>
        <v>208.15155063118937</v>
      </c>
      <c r="N28" s="101">
        <f aca="true" t="shared" si="20" ref="N28:N58">M28-L28</f>
        <v>3.7260795006742455</v>
      </c>
      <c r="O28" s="101">
        <f aca="true" t="shared" si="21" ref="O28:O58">T_ph($K$4,T28)</f>
        <v>197.72106279241768</v>
      </c>
      <c r="P28" s="101">
        <f aca="true" t="shared" si="22" ref="P28:P58">(T28-S28)/(O28-B28)</f>
        <v>4.233179092669682</v>
      </c>
      <c r="Q28" s="103">
        <f t="shared" si="1"/>
        <v>0.9579464417413642</v>
      </c>
      <c r="R28" s="100">
        <f t="shared" si="2"/>
        <v>201.39832463724488</v>
      </c>
      <c r="S28" s="101">
        <f aca="true" t="shared" si="23" ref="S28:S58">h_pt($K$4,B28)</f>
        <v>201.49705034341014</v>
      </c>
      <c r="T28" s="101">
        <f t="shared" si="3"/>
        <v>847.9926603665659</v>
      </c>
      <c r="U28" s="101">
        <f aca="true" t="shared" si="24" ref="U28:U58">h_ps(C28,$N$6)</f>
        <v>2030.3795992154535</v>
      </c>
      <c r="V28" s="101">
        <f aca="true" t="shared" si="25" ref="V28:V58">h_ps(K28,$N$6)</f>
        <v>2805.7479951127593</v>
      </c>
      <c r="W28" s="101">
        <f aca="true" t="shared" si="26" ref="W28:W58">hL_p(C28)</f>
        <v>190.1560009482619</v>
      </c>
      <c r="X28" s="101">
        <f aca="true" t="shared" si="27" ref="X28:X58">h_ps($K$5,AD28)</f>
        <v>205.2415131323824</v>
      </c>
      <c r="Y28" s="101">
        <f aca="true" t="shared" si="28" ref="Y28:Y58">hL_p(K28)</f>
        <v>872.3897274175607</v>
      </c>
      <c r="Z28" s="103">
        <f aca="true" t="shared" si="29" ref="Z28:Z58">h_ps($K$5,AE28)</f>
        <v>887.7714577377768</v>
      </c>
      <c r="AA28" s="115">
        <f aca="true" t="shared" si="30" ref="AA28:AA58">s_ph($K$4,R28)</f>
        <v>0.6318794522023473</v>
      </c>
      <c r="AB28" s="116">
        <f aca="true" t="shared" si="31" ref="AB28:AB58">s_pT($K$4,B28)</f>
        <v>0.6322438512290373</v>
      </c>
      <c r="AC28" s="116">
        <f aca="true" t="shared" si="32" ref="AC28:AC58">s_ph($K$4,T28)</f>
        <v>2.288895877651043</v>
      </c>
      <c r="AD28" s="116">
        <f t="shared" si="4"/>
        <v>0.6440226549172757</v>
      </c>
      <c r="AE28" s="117">
        <f t="shared" si="5"/>
        <v>2.37250288438005</v>
      </c>
      <c r="AF28" s="100">
        <f aca="true" t="shared" si="33" ref="AF28:AF58">((R28-$M$4)*($O$6)-(R28-$M$4)*(AG28))/(U28-W28+X28-$M$4)</f>
        <v>1.9150298412906936</v>
      </c>
      <c r="AG28" s="103">
        <f aca="true" t="shared" si="34" ref="AG28:AG58">($M$5-S28)*$O$6/(V28-Y28+T28-S28)</f>
        <v>25.451830736231717</v>
      </c>
      <c r="AH28" s="100">
        <f t="shared" si="6"/>
        <v>119.34214131807792</v>
      </c>
      <c r="AI28" s="101">
        <f aca="true" t="shared" si="35" ref="AI28:AI58">$O$6*($M$6-$M$5)*10^-3</f>
        <v>250.9668505832988</v>
      </c>
      <c r="AJ28" s="117">
        <f t="shared" si="7"/>
        <v>1.5108189743465088</v>
      </c>
      <c r="AK28" s="100">
        <f t="shared" si="8"/>
        <v>20.49345777273129</v>
      </c>
      <c r="AL28" s="101">
        <f t="shared" si="9"/>
        <v>0.24106678788017177</v>
      </c>
      <c r="AM28" s="101">
        <f aca="true" t="shared" si="36" ref="AM28:AM58">($N$5-AC28)*($O$6-AG28)-($N$5-AE28)*AG28</f>
        <v>3.1750073369053666</v>
      </c>
      <c r="AN28" s="101">
        <f aca="true" t="shared" si="37" ref="AN28:AN58">(AB28-AA28)*($O$6-AG28-AF28)-(AB28-AD28)*AF28</f>
        <v>0.04902420586866734</v>
      </c>
      <c r="AO28" s="103">
        <f aca="true" t="shared" si="38" ref="AO28:AO58">SUM(AK28:AN28)</f>
        <v>23.958556103385497</v>
      </c>
      <c r="AP28" s="122">
        <f aca="true" t="shared" si="39" ref="AP28:AP58">(AH28-AJ28)/AI28</f>
        <v>0.46950950721127943</v>
      </c>
    </row>
    <row r="29" spans="1:42" ht="12.75">
      <c r="A29" s="2"/>
      <c r="B29" s="49">
        <v>50</v>
      </c>
      <c r="C29" s="100">
        <f t="shared" si="10"/>
        <v>0.1270669053649947</v>
      </c>
      <c r="D29" s="101">
        <f t="shared" si="11"/>
        <v>50.57285077589883</v>
      </c>
      <c r="E29" s="101">
        <f t="shared" si="12"/>
        <v>50.57285077589883</v>
      </c>
      <c r="F29" s="101">
        <f t="shared" si="13"/>
        <v>0</v>
      </c>
      <c r="G29" s="101">
        <f t="shared" si="14"/>
        <v>49.952317498060836</v>
      </c>
      <c r="H29" s="102">
        <f t="shared" si="15"/>
        <v>4.145547622369249</v>
      </c>
      <c r="I29" s="103">
        <f t="shared" si="0"/>
        <v>0.964195446874006</v>
      </c>
      <c r="J29" s="110">
        <f t="shared" si="16"/>
        <v>201.28604916380868</v>
      </c>
      <c r="K29" s="100">
        <f t="shared" si="17"/>
        <v>17.050963587938043</v>
      </c>
      <c r="L29" s="101">
        <f t="shared" si="18"/>
        <v>204.46069692321927</v>
      </c>
      <c r="M29" s="101">
        <f t="shared" si="19"/>
        <v>208.22901064328562</v>
      </c>
      <c r="N29" s="101">
        <f t="shared" si="20"/>
        <v>3.7683137200663452</v>
      </c>
      <c r="O29" s="101">
        <f t="shared" si="21"/>
        <v>197.78186313238</v>
      </c>
      <c r="P29" s="101">
        <f t="shared" si="22"/>
        <v>4.236213244708231</v>
      </c>
      <c r="Q29" s="103">
        <f t="shared" si="1"/>
        <v>0.9567603026279273</v>
      </c>
      <c r="R29" s="100">
        <f t="shared" si="2"/>
        <v>222.05261802565323</v>
      </c>
      <c r="S29" s="101">
        <f t="shared" si="23"/>
        <v>222.22555353748055</v>
      </c>
      <c r="T29" s="101">
        <f t="shared" si="3"/>
        <v>848.2610394665278</v>
      </c>
      <c r="U29" s="101">
        <f t="shared" si="24"/>
        <v>2060.0270311570816</v>
      </c>
      <c r="V29" s="101">
        <f t="shared" si="25"/>
        <v>2805.8929351708057</v>
      </c>
      <c r="W29" s="101">
        <f t="shared" si="26"/>
        <v>211.7309207237304</v>
      </c>
      <c r="X29" s="101">
        <f t="shared" si="27"/>
        <v>226.85157966045276</v>
      </c>
      <c r="Y29" s="101">
        <f t="shared" si="28"/>
        <v>872.5493108199342</v>
      </c>
      <c r="Z29" s="103">
        <f t="shared" si="29"/>
        <v>887.9303459518162</v>
      </c>
      <c r="AA29" s="115">
        <f t="shared" si="30"/>
        <v>0.6962784970817721</v>
      </c>
      <c r="AB29" s="116">
        <f t="shared" si="31"/>
        <v>0.6968903889469473</v>
      </c>
      <c r="AC29" s="116">
        <f t="shared" si="32"/>
        <v>2.289465596216988</v>
      </c>
      <c r="AD29" s="116">
        <f t="shared" si="4"/>
        <v>0.711196785027088</v>
      </c>
      <c r="AE29" s="117">
        <f t="shared" si="5"/>
        <v>2.3728340271543558</v>
      </c>
      <c r="AF29" s="100">
        <f t="shared" si="33"/>
        <v>2.7082681924042156</v>
      </c>
      <c r="AG29" s="103">
        <f t="shared" si="34"/>
        <v>24.84553915638423</v>
      </c>
      <c r="AH29" s="100">
        <f t="shared" si="6"/>
        <v>119.7146120531083</v>
      </c>
      <c r="AI29" s="101">
        <f t="shared" si="35"/>
        <v>250.9668505832988</v>
      </c>
      <c r="AJ29" s="117">
        <f t="shared" si="7"/>
        <v>1.510730862433335</v>
      </c>
      <c r="AK29" s="100">
        <f t="shared" si="8"/>
        <v>19.163650839525985</v>
      </c>
      <c r="AL29" s="101">
        <f t="shared" si="9"/>
        <v>0.47708050545477043</v>
      </c>
      <c r="AM29" s="101">
        <f t="shared" si="36"/>
        <v>3.115587867942855</v>
      </c>
      <c r="AN29" s="101">
        <f t="shared" si="37"/>
        <v>0.08307479339797208</v>
      </c>
      <c r="AO29" s="103">
        <f t="shared" si="38"/>
        <v>22.839394006321587</v>
      </c>
      <c r="AP29" s="122">
        <f t="shared" si="39"/>
        <v>0.47099400146252274</v>
      </c>
    </row>
    <row r="30" spans="1:42" ht="12.75">
      <c r="A30" s="2"/>
      <c r="B30" s="49">
        <v>55</v>
      </c>
      <c r="C30" s="100">
        <f t="shared" si="10"/>
        <v>0.16319380333573805</v>
      </c>
      <c r="D30" s="101">
        <f t="shared" si="11"/>
        <v>55.72793154897707</v>
      </c>
      <c r="E30" s="101">
        <f t="shared" si="12"/>
        <v>55.72793154897707</v>
      </c>
      <c r="F30" s="101">
        <f t="shared" si="13"/>
        <v>0</v>
      </c>
      <c r="G30" s="101">
        <f t="shared" si="14"/>
        <v>54.92845823010322</v>
      </c>
      <c r="H30" s="102">
        <f t="shared" si="15"/>
        <v>4.1463394725828335</v>
      </c>
      <c r="I30" s="103">
        <f t="shared" si="0"/>
        <v>0.964446059262117</v>
      </c>
      <c r="J30" s="110">
        <f t="shared" si="16"/>
        <v>201.28604916380868</v>
      </c>
      <c r="K30" s="100">
        <f t="shared" si="17"/>
        <v>17.061788807445055</v>
      </c>
      <c r="L30" s="101">
        <f t="shared" si="18"/>
        <v>204.49166716666133</v>
      </c>
      <c r="M30" s="101">
        <f t="shared" si="19"/>
        <v>208.29712020177783</v>
      </c>
      <c r="N30" s="101">
        <f t="shared" si="20"/>
        <v>3.8054530351165</v>
      </c>
      <c r="O30" s="101">
        <f t="shared" si="21"/>
        <v>197.84485506763627</v>
      </c>
      <c r="P30" s="101">
        <f t="shared" si="22"/>
        <v>4.239395489242608</v>
      </c>
      <c r="Q30" s="103">
        <f t="shared" si="1"/>
        <v>0.9555372401351653</v>
      </c>
      <c r="R30" s="100">
        <f t="shared" si="2"/>
        <v>242.69861905170805</v>
      </c>
      <c r="S30" s="101">
        <f t="shared" si="23"/>
        <v>242.96327463688058</v>
      </c>
      <c r="T30" s="101">
        <f t="shared" si="3"/>
        <v>848.5391088721319</v>
      </c>
      <c r="U30" s="101">
        <f t="shared" si="24"/>
        <v>2089.2946541706187</v>
      </c>
      <c r="V30" s="101">
        <f t="shared" si="25"/>
        <v>2806.0203655296186</v>
      </c>
      <c r="W30" s="101">
        <f t="shared" si="26"/>
        <v>233.28510881503433</v>
      </c>
      <c r="X30" s="101">
        <f t="shared" si="27"/>
        <v>248.44281676130365</v>
      </c>
      <c r="Y30" s="101">
        <f t="shared" si="28"/>
        <v>872.6896208159204</v>
      </c>
      <c r="Z30" s="103">
        <f t="shared" si="29"/>
        <v>888.0700441369027</v>
      </c>
      <c r="AA30" s="115">
        <f t="shared" si="30"/>
        <v>0.7596680616688974</v>
      </c>
      <c r="AB30" s="116">
        <f t="shared" si="31"/>
        <v>0.7605726110988942</v>
      </c>
      <c r="AC30" s="116">
        <f t="shared" si="32"/>
        <v>2.2900558073659707</v>
      </c>
      <c r="AD30" s="116">
        <f t="shared" si="4"/>
        <v>0.777243180580666</v>
      </c>
      <c r="AE30" s="117">
        <f t="shared" si="5"/>
        <v>2.3731251551542627</v>
      </c>
      <c r="AF30" s="100">
        <f t="shared" si="33"/>
        <v>3.491035131522727</v>
      </c>
      <c r="AG30" s="103">
        <f t="shared" si="34"/>
        <v>24.229084402159273</v>
      </c>
      <c r="AH30" s="100">
        <f t="shared" si="6"/>
        <v>120.05199374781746</v>
      </c>
      <c r="AI30" s="101">
        <f t="shared" si="35"/>
        <v>250.9668505832988</v>
      </c>
      <c r="AJ30" s="117">
        <f t="shared" si="7"/>
        <v>1.5107027839360583</v>
      </c>
      <c r="AK30" s="100">
        <f t="shared" si="8"/>
        <v>17.889795422579468</v>
      </c>
      <c r="AL30" s="101">
        <f t="shared" si="9"/>
        <v>0.7836360943425831</v>
      </c>
      <c r="AM30" s="101">
        <f t="shared" si="36"/>
        <v>3.0521192338266943</v>
      </c>
      <c r="AN30" s="101">
        <f t="shared" si="37"/>
        <v>0.12357826839939627</v>
      </c>
      <c r="AO30" s="103">
        <f t="shared" si="38"/>
        <v>21.84912901914814</v>
      </c>
      <c r="AP30" s="122">
        <f t="shared" si="39"/>
        <v>0.4723384410664873</v>
      </c>
    </row>
    <row r="31" spans="1:42" ht="12.75">
      <c r="A31" s="2"/>
      <c r="B31" s="49">
        <v>60</v>
      </c>
      <c r="C31" s="100">
        <f t="shared" si="10"/>
        <v>0.20769851938365755</v>
      </c>
      <c r="D31" s="101">
        <f t="shared" si="11"/>
        <v>60.87734875142819</v>
      </c>
      <c r="E31" s="101">
        <f t="shared" si="12"/>
        <v>60.87734875142819</v>
      </c>
      <c r="F31" s="101">
        <f t="shared" si="13"/>
        <v>0</v>
      </c>
      <c r="G31" s="101">
        <f t="shared" si="14"/>
        <v>59.900744385030976</v>
      </c>
      <c r="H31" s="102">
        <f t="shared" si="15"/>
        <v>4.14722089678924</v>
      </c>
      <c r="I31" s="103">
        <f t="shared" si="0"/>
        <v>0.9646613982098959</v>
      </c>
      <c r="J31" s="110">
        <f t="shared" si="16"/>
        <v>201.28604916380868</v>
      </c>
      <c r="K31" s="100">
        <f t="shared" si="17"/>
        <v>17.070988589773233</v>
      </c>
      <c r="L31" s="101">
        <f t="shared" si="18"/>
        <v>204.51797512502787</v>
      </c>
      <c r="M31" s="101">
        <f t="shared" si="19"/>
        <v>208.35498185559157</v>
      </c>
      <c r="N31" s="101">
        <f t="shared" si="20"/>
        <v>3.837006730563701</v>
      </c>
      <c r="O31" s="101">
        <f t="shared" si="21"/>
        <v>197.91003080592282</v>
      </c>
      <c r="P31" s="101">
        <f t="shared" si="22"/>
        <v>4.242729174371241</v>
      </c>
      <c r="Q31" s="103">
        <f t="shared" si="1"/>
        <v>0.9542759693845125</v>
      </c>
      <c r="R31" s="100">
        <f t="shared" si="2"/>
        <v>263.33890331145216</v>
      </c>
      <c r="S31" s="101">
        <f t="shared" si="23"/>
        <v>263.71192479705826</v>
      </c>
      <c r="T31" s="101">
        <f t="shared" si="3"/>
        <v>848.8268359357835</v>
      </c>
      <c r="U31" s="101">
        <f t="shared" si="24"/>
        <v>2118.193769193648</v>
      </c>
      <c r="V31" s="101">
        <f t="shared" si="25"/>
        <v>2806.1286125582105</v>
      </c>
      <c r="W31" s="101">
        <f t="shared" si="26"/>
        <v>254.82515206921929</v>
      </c>
      <c r="X31" s="101">
        <f t="shared" si="27"/>
        <v>270.0212938619497</v>
      </c>
      <c r="Y31" s="101">
        <f t="shared" si="28"/>
        <v>872.8088124833523</v>
      </c>
      <c r="Z31" s="103">
        <f t="shared" si="29"/>
        <v>888.1887156497878</v>
      </c>
      <c r="AA31" s="115">
        <f t="shared" si="30"/>
        <v>0.8220879890595819</v>
      </c>
      <c r="AB31" s="116">
        <f t="shared" si="31"/>
        <v>0.8233248586902618</v>
      </c>
      <c r="AC31" s="116">
        <f t="shared" si="32"/>
        <v>2.290666433533067</v>
      </c>
      <c r="AD31" s="116">
        <f t="shared" si="4"/>
        <v>0.8422175927519739</v>
      </c>
      <c r="AE31" s="117">
        <f t="shared" si="5"/>
        <v>2.3733724490523307</v>
      </c>
      <c r="AF31" s="100">
        <f t="shared" si="33"/>
        <v>4.264646450456355</v>
      </c>
      <c r="AG31" s="103">
        <f t="shared" si="34"/>
        <v>23.602167056334203</v>
      </c>
      <c r="AH31" s="100">
        <f t="shared" si="6"/>
        <v>120.35610261169128</v>
      </c>
      <c r="AI31" s="101">
        <f t="shared" si="35"/>
        <v>250.9668505832988</v>
      </c>
      <c r="AJ31" s="117">
        <f t="shared" si="7"/>
        <v>1.5107360271744967</v>
      </c>
      <c r="AK31" s="100">
        <f t="shared" si="8"/>
        <v>16.670458292456345</v>
      </c>
      <c r="AL31" s="101">
        <f t="shared" si="9"/>
        <v>1.1558583306912418</v>
      </c>
      <c r="AM31" s="101">
        <f t="shared" si="36"/>
        <v>2.984513394013291</v>
      </c>
      <c r="AN31" s="101">
        <f t="shared" si="37"/>
        <v>0.1697901789933186</v>
      </c>
      <c r="AO31" s="103">
        <f t="shared" si="38"/>
        <v>20.980620196154195</v>
      </c>
      <c r="AP31" s="122">
        <f t="shared" si="39"/>
        <v>0.47355005773987924</v>
      </c>
    </row>
    <row r="32" spans="1:42" ht="12.75">
      <c r="A32" s="2"/>
      <c r="B32" s="49">
        <v>65</v>
      </c>
      <c r="C32" s="100">
        <f t="shared" si="10"/>
        <v>0.26208103263263516</v>
      </c>
      <c r="D32" s="101">
        <f t="shared" si="11"/>
        <v>66.0218677208633</v>
      </c>
      <c r="E32" s="101">
        <f t="shared" si="12"/>
        <v>66.0218677208633</v>
      </c>
      <c r="F32" s="101">
        <f t="shared" si="13"/>
        <v>0</v>
      </c>
      <c r="G32" s="101">
        <f t="shared" si="14"/>
        <v>64.8694193253321</v>
      </c>
      <c r="H32" s="102">
        <f t="shared" si="15"/>
        <v>4.148195644591906</v>
      </c>
      <c r="I32" s="103">
        <f t="shared" si="0"/>
        <v>0.9648430959482832</v>
      </c>
      <c r="J32" s="110">
        <f t="shared" si="16"/>
        <v>201.28604916380868</v>
      </c>
      <c r="K32" s="100">
        <f t="shared" si="17"/>
        <v>17.078407320779117</v>
      </c>
      <c r="L32" s="101">
        <f t="shared" si="18"/>
        <v>204.5391819049974</v>
      </c>
      <c r="M32" s="101">
        <f t="shared" si="19"/>
        <v>208.40162756796968</v>
      </c>
      <c r="N32" s="101">
        <f t="shared" si="20"/>
        <v>3.862445662972277</v>
      </c>
      <c r="O32" s="101">
        <f t="shared" si="21"/>
        <v>197.9773745130007</v>
      </c>
      <c r="P32" s="101">
        <f t="shared" si="22"/>
        <v>4.246217497726812</v>
      </c>
      <c r="Q32" s="103">
        <f t="shared" si="1"/>
        <v>0.9529751622274494</v>
      </c>
      <c r="R32" s="100">
        <f t="shared" si="2"/>
        <v>283.9759248805352</v>
      </c>
      <c r="S32" s="101">
        <f t="shared" si="23"/>
        <v>284.4732980999085</v>
      </c>
      <c r="T32" s="101">
        <f t="shared" si="3"/>
        <v>849.1241525587836</v>
      </c>
      <c r="U32" s="101">
        <f t="shared" si="24"/>
        <v>2146.734778267399</v>
      </c>
      <c r="V32" s="101">
        <f t="shared" si="25"/>
        <v>2806.2158703119367</v>
      </c>
      <c r="W32" s="101">
        <f t="shared" si="26"/>
        <v>276.3572297748998</v>
      </c>
      <c r="X32" s="101">
        <f t="shared" si="27"/>
        <v>291.5928048850091</v>
      </c>
      <c r="Y32" s="101">
        <f t="shared" si="28"/>
        <v>872.9048952997355</v>
      </c>
      <c r="Z32" s="103">
        <f t="shared" si="29"/>
        <v>888.284378872437</v>
      </c>
      <c r="AA32" s="115">
        <f t="shared" si="30"/>
        <v>0.8835759005268634</v>
      </c>
      <c r="AB32" s="116">
        <f t="shared" si="31"/>
        <v>0.8851801850761525</v>
      </c>
      <c r="AC32" s="116">
        <f t="shared" si="32"/>
        <v>2.2912973216898074</v>
      </c>
      <c r="AD32" s="116">
        <f t="shared" si="4"/>
        <v>0.9061717329325691</v>
      </c>
      <c r="AE32" s="117">
        <f t="shared" si="5"/>
        <v>2.3735717870629314</v>
      </c>
      <c r="AF32" s="100">
        <f t="shared" si="33"/>
        <v>5.030328370484869</v>
      </c>
      <c r="AG32" s="103">
        <f t="shared" si="34"/>
        <v>22.964473983333527</v>
      </c>
      <c r="AH32" s="100">
        <f t="shared" si="6"/>
        <v>120.62857732103286</v>
      </c>
      <c r="AI32" s="101">
        <f t="shared" si="35"/>
        <v>250.9668505832988</v>
      </c>
      <c r="AJ32" s="117">
        <f t="shared" si="7"/>
        <v>1.5108310190827763</v>
      </c>
      <c r="AK32" s="100">
        <f t="shared" si="8"/>
        <v>15.504339615393661</v>
      </c>
      <c r="AL32" s="101">
        <f t="shared" si="9"/>
        <v>1.5894101666587268</v>
      </c>
      <c r="AM32" s="101">
        <f t="shared" si="36"/>
        <v>2.912690687632901</v>
      </c>
      <c r="AN32" s="101">
        <f t="shared" si="37"/>
        <v>0.22111120477479843</v>
      </c>
      <c r="AO32" s="103">
        <f t="shared" si="38"/>
        <v>20.227551674460084</v>
      </c>
      <c r="AP32" s="122">
        <f t="shared" si="39"/>
        <v>0.474635379234731</v>
      </c>
    </row>
    <row r="33" spans="1:42" ht="12.75">
      <c r="A33" s="2"/>
      <c r="B33" s="49">
        <v>70</v>
      </c>
      <c r="C33" s="100">
        <f t="shared" si="10"/>
        <v>0.32802611041820284</v>
      </c>
      <c r="D33" s="101">
        <f t="shared" si="11"/>
        <v>71.16217720583609</v>
      </c>
      <c r="E33" s="101">
        <f t="shared" si="12"/>
        <v>71.16217720583609</v>
      </c>
      <c r="F33" s="101">
        <f t="shared" si="13"/>
        <v>0</v>
      </c>
      <c r="G33" s="101">
        <f t="shared" si="14"/>
        <v>69.83467993686003</v>
      </c>
      <c r="H33" s="102">
        <f t="shared" si="15"/>
        <v>4.149267602762012</v>
      </c>
      <c r="I33" s="103">
        <f t="shared" si="0"/>
        <v>0.9649925797568638</v>
      </c>
      <c r="J33" s="110">
        <f t="shared" si="16"/>
        <v>201.28604916380868</v>
      </c>
      <c r="K33" s="100">
        <f t="shared" si="17"/>
        <v>17.083877524842244</v>
      </c>
      <c r="L33" s="101">
        <f t="shared" si="18"/>
        <v>204.55481414149557</v>
      </c>
      <c r="M33" s="101">
        <f t="shared" si="19"/>
        <v>208.4360137440633</v>
      </c>
      <c r="N33" s="101">
        <f t="shared" si="20"/>
        <v>3.881199602567733</v>
      </c>
      <c r="O33" s="101">
        <f t="shared" si="21"/>
        <v>198.0468610948326</v>
      </c>
      <c r="P33" s="101">
        <f t="shared" si="22"/>
        <v>4.249863609376977</v>
      </c>
      <c r="Q33" s="103">
        <f t="shared" si="1"/>
        <v>0.9516334433057199</v>
      </c>
      <c r="R33" s="100">
        <f t="shared" si="2"/>
        <v>304.61202344254934</v>
      </c>
      <c r="S33" s="101">
        <f t="shared" si="23"/>
        <v>305.2492545400935</v>
      </c>
      <c r="T33" s="101">
        <f t="shared" si="3"/>
        <v>849.4309498019711</v>
      </c>
      <c r="U33" s="101">
        <f t="shared" si="24"/>
        <v>2174.927281085142</v>
      </c>
      <c r="V33" s="101">
        <f t="shared" si="25"/>
        <v>2806.2801910137696</v>
      </c>
      <c r="W33" s="101">
        <f t="shared" si="26"/>
        <v>297.88716610554314</v>
      </c>
      <c r="X33" s="101">
        <f t="shared" si="27"/>
        <v>313.16288023009815</v>
      </c>
      <c r="Y33" s="101">
        <f t="shared" si="28"/>
        <v>872.9757227498449</v>
      </c>
      <c r="Z33" s="103">
        <f t="shared" si="29"/>
        <v>888.354896855161</v>
      </c>
      <c r="AA33" s="115">
        <f t="shared" si="30"/>
        <v>0.9441673068683232</v>
      </c>
      <c r="AB33" s="116">
        <f t="shared" si="31"/>
        <v>0.9461703816171168</v>
      </c>
      <c r="AC33" s="116">
        <f t="shared" si="32"/>
        <v>2.2919482319703586</v>
      </c>
      <c r="AD33" s="116">
        <f t="shared" si="4"/>
        <v>0.9691536949338655</v>
      </c>
      <c r="AE33" s="117">
        <f t="shared" si="5"/>
        <v>2.373718723019564</v>
      </c>
      <c r="AF33" s="100">
        <f t="shared" si="33"/>
        <v>5.789228719014128</v>
      </c>
      <c r="AG33" s="103">
        <f t="shared" si="34"/>
        <v>22.31567813139654</v>
      </c>
      <c r="AH33" s="100">
        <f t="shared" si="6"/>
        <v>120.87089751471613</v>
      </c>
      <c r="AI33" s="101">
        <f t="shared" si="35"/>
        <v>250.9668505832988</v>
      </c>
      <c r="AJ33" s="117">
        <f t="shared" si="7"/>
        <v>1.510987633551305</v>
      </c>
      <c r="AK33" s="100">
        <f t="shared" si="8"/>
        <v>14.3902670299763</v>
      </c>
      <c r="AL33" s="101">
        <f t="shared" si="9"/>
        <v>2.0804248808128243</v>
      </c>
      <c r="AM33" s="101">
        <f t="shared" si="36"/>
        <v>2.836581879533842</v>
      </c>
      <c r="AN33" s="101">
        <f t="shared" si="37"/>
        <v>0.2770669031615261</v>
      </c>
      <c r="AO33" s="103">
        <f t="shared" si="38"/>
        <v>19.584340693484492</v>
      </c>
      <c r="AP33" s="122">
        <f t="shared" si="39"/>
        <v>0.47560030180777957</v>
      </c>
    </row>
    <row r="34" spans="1:42" ht="12.75">
      <c r="A34" s="2"/>
      <c r="B34" s="49">
        <v>75</v>
      </c>
      <c r="C34" s="100">
        <f t="shared" si="10"/>
        <v>0.40741390719552384</v>
      </c>
      <c r="D34" s="101">
        <f t="shared" si="11"/>
        <v>76.29889553116632</v>
      </c>
      <c r="E34" s="101">
        <f t="shared" si="12"/>
        <v>76.29889553116632</v>
      </c>
      <c r="F34" s="101">
        <f t="shared" si="13"/>
        <v>0</v>
      </c>
      <c r="G34" s="101">
        <f t="shared" si="14"/>
        <v>74.79667789918858</v>
      </c>
      <c r="H34" s="102">
        <f t="shared" si="15"/>
        <v>4.150440751683443</v>
      </c>
      <c r="I34" s="103">
        <f t="shared" si="0"/>
        <v>0.9651110941344105</v>
      </c>
      <c r="J34" s="110">
        <f t="shared" si="16"/>
        <v>201.28604916380868</v>
      </c>
      <c r="K34" s="100">
        <f t="shared" si="17"/>
        <v>17.087219108380562</v>
      </c>
      <c r="L34" s="101">
        <f t="shared" si="18"/>
        <v>204.56436148966088</v>
      </c>
      <c r="M34" s="101">
        <f t="shared" si="19"/>
        <v>208.45701586285833</v>
      </c>
      <c r="N34" s="101">
        <f t="shared" si="20"/>
        <v>3.892654373197445</v>
      </c>
      <c r="O34" s="101">
        <f t="shared" si="21"/>
        <v>198.11845487593507</v>
      </c>
      <c r="P34" s="101">
        <f t="shared" si="22"/>
        <v>4.253670723409655</v>
      </c>
      <c r="Q34" s="103">
        <f t="shared" si="1"/>
        <v>0.9502493854049504</v>
      </c>
      <c r="R34" s="100">
        <f t="shared" si="2"/>
        <v>325.24943098315015</v>
      </c>
      <c r="S34" s="101">
        <f t="shared" si="23"/>
        <v>326.0417050174033</v>
      </c>
      <c r="T34" s="101">
        <f t="shared" si="3"/>
        <v>849.747072034601</v>
      </c>
      <c r="U34" s="101">
        <f t="shared" si="24"/>
        <v>2202.780157416132</v>
      </c>
      <c r="V34" s="101">
        <f t="shared" si="25"/>
        <v>2806.3194747389894</v>
      </c>
      <c r="W34" s="101">
        <f t="shared" si="26"/>
        <v>319.42047057222936</v>
      </c>
      <c r="X34" s="101">
        <f t="shared" si="27"/>
        <v>334.73679164119085</v>
      </c>
      <c r="Y34" s="101">
        <f t="shared" si="28"/>
        <v>873.0189810791147</v>
      </c>
      <c r="Z34" s="103">
        <f t="shared" si="29"/>
        <v>888.3979661067757</v>
      </c>
      <c r="AA34" s="115">
        <f t="shared" si="30"/>
        <v>1.0038957143289164</v>
      </c>
      <c r="AB34" s="116">
        <f t="shared" si="31"/>
        <v>1.006326007272945</v>
      </c>
      <c r="AC34" s="116">
        <f t="shared" si="32"/>
        <v>2.2926188253338164</v>
      </c>
      <c r="AD34" s="116">
        <f t="shared" si="4"/>
        <v>1.0312083073788587</v>
      </c>
      <c r="AE34" s="117">
        <f t="shared" si="5"/>
        <v>2.3738084625874216</v>
      </c>
      <c r="AF34" s="100">
        <f t="shared" si="33"/>
        <v>6.542426731721517</v>
      </c>
      <c r="AG34" s="103">
        <f t="shared" si="34"/>
        <v>21.65543827308454</v>
      </c>
      <c r="AH34" s="100">
        <f t="shared" si="6"/>
        <v>121.08439958601593</v>
      </c>
      <c r="AI34" s="101">
        <f t="shared" si="35"/>
        <v>250.9668505832988</v>
      </c>
      <c r="AJ34" s="117">
        <f t="shared" si="7"/>
        <v>1.5112053260471499</v>
      </c>
      <c r="AK34" s="100">
        <f t="shared" si="8"/>
        <v>13.327190286987218</v>
      </c>
      <c r="AL34" s="101">
        <f t="shared" si="9"/>
        <v>2.625447951707983</v>
      </c>
      <c r="AM34" s="101">
        <f t="shared" si="36"/>
        <v>2.756130465054306</v>
      </c>
      <c r="AN34" s="101">
        <f t="shared" si="37"/>
        <v>0.33729084740465054</v>
      </c>
      <c r="AO34" s="103">
        <f t="shared" si="38"/>
        <v>19.046059551154155</v>
      </c>
      <c r="AP34" s="122">
        <f t="shared" si="39"/>
        <v>0.47645015260802764</v>
      </c>
    </row>
    <row r="35" spans="1:42" ht="12.75">
      <c r="A35" s="2"/>
      <c r="B35" s="49">
        <v>80</v>
      </c>
      <c r="C35" s="100">
        <f t="shared" si="10"/>
        <v>0.5023299129916226</v>
      </c>
      <c r="D35" s="101">
        <f t="shared" si="11"/>
        <v>81.4325765557702</v>
      </c>
      <c r="E35" s="101">
        <f t="shared" si="12"/>
        <v>81.4325765557702</v>
      </c>
      <c r="F35" s="101">
        <f t="shared" si="13"/>
        <v>0</v>
      </c>
      <c r="G35" s="101">
        <f t="shared" si="14"/>
        <v>79.75552132561626</v>
      </c>
      <c r="H35" s="102">
        <f t="shared" si="15"/>
        <v>4.15171915292006</v>
      </c>
      <c r="I35" s="103">
        <f t="shared" si="0"/>
        <v>0.9651997191574403</v>
      </c>
      <c r="J35" s="110">
        <f t="shared" si="16"/>
        <v>201.28604916380868</v>
      </c>
      <c r="K35" s="100">
        <f t="shared" si="17"/>
        <v>17.08823854261706</v>
      </c>
      <c r="L35" s="101">
        <f t="shared" si="18"/>
        <v>204.56727385952718</v>
      </c>
      <c r="M35" s="101">
        <f t="shared" si="19"/>
        <v>208.46342258032615</v>
      </c>
      <c r="N35" s="101">
        <f t="shared" si="20"/>
        <v>3.8961487207989762</v>
      </c>
      <c r="O35" s="101">
        <f t="shared" si="21"/>
        <v>198.19210818279652</v>
      </c>
      <c r="P35" s="101">
        <f t="shared" si="22"/>
        <v>4.257642224373199</v>
      </c>
      <c r="Q35" s="103">
        <f t="shared" si="1"/>
        <v>0.9488215044031526</v>
      </c>
      <c r="R35" s="100">
        <f t="shared" si="2"/>
        <v>345.890280119242</v>
      </c>
      <c r="S35" s="101">
        <f t="shared" si="23"/>
        <v>346.8526002735068</v>
      </c>
      <c r="T35" s="101">
        <f t="shared" si="3"/>
        <v>850.0723106602677</v>
      </c>
      <c r="U35" s="101">
        <f t="shared" si="24"/>
        <v>2230.3016402992594</v>
      </c>
      <c r="V35" s="101">
        <f t="shared" si="25"/>
        <v>2806.3314580423944</v>
      </c>
      <c r="W35" s="101">
        <f t="shared" si="26"/>
        <v>340.96237453200104</v>
      </c>
      <c r="X35" s="101">
        <f t="shared" si="27"/>
        <v>356.3195594211662</v>
      </c>
      <c r="Y35" s="101">
        <f t="shared" si="28"/>
        <v>873.032176909457</v>
      </c>
      <c r="Z35" s="103">
        <f t="shared" si="29"/>
        <v>888.4111042491897</v>
      </c>
      <c r="AA35" s="115">
        <f t="shared" si="30"/>
        <v>1.0627927367718533</v>
      </c>
      <c r="AB35" s="116">
        <f t="shared" si="31"/>
        <v>1.065676427332269</v>
      </c>
      <c r="AC35" s="116">
        <f t="shared" si="32"/>
        <v>2.293308650346934</v>
      </c>
      <c r="AD35" s="116">
        <f t="shared" si="4"/>
        <v>1.0923774458585909</v>
      </c>
      <c r="AE35" s="117">
        <f t="shared" si="5"/>
        <v>2.3738358370054695</v>
      </c>
      <c r="AF35" s="100">
        <f t="shared" si="33"/>
        <v>7.290941765036424</v>
      </c>
      <c r="AG35" s="103">
        <f t="shared" si="34"/>
        <v>20.98339861287127</v>
      </c>
      <c r="AH35" s="100">
        <f t="shared" si="6"/>
        <v>121.27029020613446</v>
      </c>
      <c r="AI35" s="101">
        <f t="shared" si="35"/>
        <v>250.9668505832988</v>
      </c>
      <c r="AJ35" s="117">
        <f t="shared" si="7"/>
        <v>1.5114831402198021</v>
      </c>
      <c r="AK35" s="100">
        <f t="shared" si="8"/>
        <v>12.314175896577964</v>
      </c>
      <c r="AL35" s="101">
        <f t="shared" si="9"/>
        <v>3.221387566179345</v>
      </c>
      <c r="AM35" s="101">
        <f t="shared" si="36"/>
        <v>2.671295238803096</v>
      </c>
      <c r="AN35" s="101">
        <f t="shared" si="37"/>
        <v>0.4015101787343893</v>
      </c>
      <c r="AO35" s="103">
        <f t="shared" si="38"/>
        <v>18.608368880294798</v>
      </c>
      <c r="AP35" s="122">
        <f t="shared" si="39"/>
        <v>0.4771897435361302</v>
      </c>
    </row>
    <row r="36" spans="1:42" ht="12.75">
      <c r="A36" s="2"/>
      <c r="B36" s="49">
        <v>85</v>
      </c>
      <c r="C36" s="100">
        <f t="shared" si="10"/>
        <v>0.6150741784791844</v>
      </c>
      <c r="D36" s="101">
        <f t="shared" si="11"/>
        <v>86.56371565731263</v>
      </c>
      <c r="E36" s="101">
        <f t="shared" si="12"/>
        <v>86.56371565731263</v>
      </c>
      <c r="F36" s="101">
        <f t="shared" si="13"/>
        <v>0</v>
      </c>
      <c r="G36" s="101">
        <f t="shared" si="14"/>
        <v>84.71127690274278</v>
      </c>
      <c r="H36" s="102">
        <f t="shared" si="15"/>
        <v>4.153106947215075</v>
      </c>
      <c r="I36" s="103">
        <f t="shared" si="0"/>
        <v>0.9652593860268401</v>
      </c>
      <c r="J36" s="110">
        <f t="shared" si="16"/>
        <v>201.28604916380868</v>
      </c>
      <c r="K36" s="100">
        <f t="shared" si="17"/>
        <v>17.086727973065813</v>
      </c>
      <c r="L36" s="101">
        <f t="shared" si="18"/>
        <v>204.56295834188205</v>
      </c>
      <c r="M36" s="101">
        <f t="shared" si="19"/>
        <v>208.4539291982211</v>
      </c>
      <c r="N36" s="101">
        <f t="shared" si="20"/>
        <v>3.890970856339038</v>
      </c>
      <c r="O36" s="101">
        <f t="shared" si="21"/>
        <v>198.26775982753372</v>
      </c>
      <c r="P36" s="101">
        <f t="shared" si="22"/>
        <v>4.26178176154588</v>
      </c>
      <c r="Q36" s="103">
        <f t="shared" si="1"/>
        <v>0.9473482539939533</v>
      </c>
      <c r="R36" s="100">
        <f t="shared" si="2"/>
        <v>366.5366146211071</v>
      </c>
      <c r="S36" s="101">
        <f t="shared" si="23"/>
        <v>367.683924394002</v>
      </c>
      <c r="T36" s="101">
        <f t="shared" si="3"/>
        <v>850.4063973981443</v>
      </c>
      <c r="U36" s="101">
        <f t="shared" si="24"/>
        <v>2257.4993824587186</v>
      </c>
      <c r="V36" s="101">
        <f t="shared" si="25"/>
        <v>2806.313701315733</v>
      </c>
      <c r="W36" s="101">
        <f t="shared" si="26"/>
        <v>362.5178675196504</v>
      </c>
      <c r="X36" s="101">
        <f t="shared" si="27"/>
        <v>377.91596582545066</v>
      </c>
      <c r="Y36" s="101">
        <f t="shared" si="28"/>
        <v>873.0126234894423</v>
      </c>
      <c r="Z36" s="103">
        <f t="shared" si="29"/>
        <v>888.3916363087178</v>
      </c>
      <c r="AA36" s="115">
        <f t="shared" si="30"/>
        <v>1.1208882167114882</v>
      </c>
      <c r="AB36" s="116">
        <f t="shared" si="31"/>
        <v>1.1242498622566126</v>
      </c>
      <c r="AC36" s="116">
        <f t="shared" si="32"/>
        <v>2.2940171290430498</v>
      </c>
      <c r="AD36" s="116">
        <f t="shared" si="4"/>
        <v>1.1527003193021703</v>
      </c>
      <c r="AE36" s="117">
        <f t="shared" si="5"/>
        <v>2.373795273863861</v>
      </c>
      <c r="AF36" s="100">
        <f t="shared" si="33"/>
        <v>8.035741109613873</v>
      </c>
      <c r="AG36" s="103">
        <f t="shared" si="34"/>
        <v>20.299188225206787</v>
      </c>
      <c r="AH36" s="100">
        <f t="shared" si="6"/>
        <v>121.42965791019728</v>
      </c>
      <c r="AI36" s="101">
        <f t="shared" si="35"/>
        <v>250.9668505832988</v>
      </c>
      <c r="AJ36" s="117">
        <f t="shared" si="7"/>
        <v>1.5118196263646428</v>
      </c>
      <c r="AK36" s="100">
        <f t="shared" si="8"/>
        <v>11.350401670928633</v>
      </c>
      <c r="AL36" s="101">
        <f t="shared" si="9"/>
        <v>3.865472684844349</v>
      </c>
      <c r="AM36" s="101">
        <f t="shared" si="36"/>
        <v>2.582053151522323</v>
      </c>
      <c r="AN36" s="101">
        <f t="shared" si="37"/>
        <v>0.4695330728109183</v>
      </c>
      <c r="AO36" s="103">
        <f t="shared" si="38"/>
        <v>18.267460580106224</v>
      </c>
      <c r="AP36" s="122">
        <f t="shared" si="39"/>
        <v>0.477823417734728</v>
      </c>
    </row>
    <row r="37" spans="1:42" ht="12.75">
      <c r="A37" s="2"/>
      <c r="B37" s="49">
        <v>90</v>
      </c>
      <c r="C37" s="100">
        <f t="shared" si="10"/>
        <v>0.7481697632976221</v>
      </c>
      <c r="D37" s="101">
        <f t="shared" si="11"/>
        <v>91.69275577989858</v>
      </c>
      <c r="E37" s="101">
        <f t="shared" si="12"/>
        <v>91.69275577989858</v>
      </c>
      <c r="F37" s="101">
        <f t="shared" si="13"/>
        <v>0</v>
      </c>
      <c r="G37" s="101">
        <f t="shared" si="14"/>
        <v>89.6639724818275</v>
      </c>
      <c r="H37" s="102">
        <f t="shared" si="15"/>
        <v>4.154608356909207</v>
      </c>
      <c r="I37" s="103">
        <f t="shared" si="0"/>
        <v>0.9652908902924026</v>
      </c>
      <c r="J37" s="110">
        <f t="shared" si="16"/>
        <v>201.28604916380868</v>
      </c>
      <c r="K37" s="100">
        <f t="shared" si="17"/>
        <v>17.082464246238764</v>
      </c>
      <c r="L37" s="101">
        <f t="shared" si="18"/>
        <v>204.5507757795187</v>
      </c>
      <c r="M37" s="101">
        <f t="shared" si="19"/>
        <v>208.42713040761947</v>
      </c>
      <c r="N37" s="101">
        <f t="shared" si="20"/>
        <v>3.876354628100785</v>
      </c>
      <c r="O37" s="101">
        <f t="shared" si="21"/>
        <v>198.34533347791626</v>
      </c>
      <c r="P37" s="101">
        <f t="shared" si="22"/>
        <v>4.266093328032321</v>
      </c>
      <c r="Q37" s="103">
        <f t="shared" si="1"/>
        <v>0.9458280202872973</v>
      </c>
      <c r="R37" s="100">
        <f t="shared" si="2"/>
        <v>387.19040195526514</v>
      </c>
      <c r="S37" s="101">
        <f t="shared" si="23"/>
        <v>388.53769278431434</v>
      </c>
      <c r="T37" s="101">
        <f t="shared" si="3"/>
        <v>850.7489970578897</v>
      </c>
      <c r="U37" s="101">
        <f t="shared" si="24"/>
        <v>2284.380517192776</v>
      </c>
      <c r="V37" s="101">
        <f t="shared" si="25"/>
        <v>2806.2635746873298</v>
      </c>
      <c r="W37" s="101">
        <f t="shared" si="26"/>
        <v>384.0917348579049</v>
      </c>
      <c r="X37" s="101">
        <f t="shared" si="27"/>
        <v>399.53057550066444</v>
      </c>
      <c r="Y37" s="101">
        <f t="shared" si="28"/>
        <v>872.9574253776216</v>
      </c>
      <c r="Z37" s="103">
        <f t="shared" si="29"/>
        <v>888.3366794432258</v>
      </c>
      <c r="AA37" s="115">
        <f t="shared" si="30"/>
        <v>1.1782103536396096</v>
      </c>
      <c r="AB37" s="116">
        <f t="shared" si="31"/>
        <v>1.1820734455455053</v>
      </c>
      <c r="AC37" s="116">
        <f t="shared" si="32"/>
        <v>2.2947435417283866</v>
      </c>
      <c r="AD37" s="116">
        <f t="shared" si="4"/>
        <v>1.2122137371008765</v>
      </c>
      <c r="AE37" s="117">
        <f t="shared" si="5"/>
        <v>2.3736807644741074</v>
      </c>
      <c r="AF37" s="100">
        <f t="shared" si="33"/>
        <v>8.77774704282762</v>
      </c>
      <c r="AG37" s="103">
        <f t="shared" si="34"/>
        <v>19.60242030612933</v>
      </c>
      <c r="AH37" s="100">
        <f t="shared" si="6"/>
        <v>121.56348300683871</v>
      </c>
      <c r="AI37" s="101">
        <f t="shared" si="35"/>
        <v>250.9668505832988</v>
      </c>
      <c r="AJ37" s="117">
        <f t="shared" si="7"/>
        <v>1.5122127035003219</v>
      </c>
      <c r="AK37" s="100">
        <f t="shared" si="8"/>
        <v>10.435151252312636</v>
      </c>
      <c r="AL37" s="101">
        <f t="shared" si="9"/>
        <v>4.555217649941042</v>
      </c>
      <c r="AM37" s="101">
        <f t="shared" si="36"/>
        <v>2.4884024933416464</v>
      </c>
      <c r="AN37" s="101">
        <f t="shared" si="37"/>
        <v>0.5412378508859734</v>
      </c>
      <c r="AO37" s="103">
        <f t="shared" si="38"/>
        <v>18.020009246481298</v>
      </c>
      <c r="AP37" s="122">
        <f t="shared" si="39"/>
        <v>0.47835508962364726</v>
      </c>
    </row>
    <row r="38" spans="1:42" ht="12.75">
      <c r="A38" s="2"/>
      <c r="B38" s="49">
        <v>95</v>
      </c>
      <c r="C38" s="100">
        <f t="shared" si="10"/>
        <v>0.9043703743232971</v>
      </c>
      <c r="D38" s="101">
        <f t="shared" si="11"/>
        <v>96.82009349304869</v>
      </c>
      <c r="E38" s="101">
        <f t="shared" si="12"/>
        <v>96.82009349304869</v>
      </c>
      <c r="F38" s="101">
        <f t="shared" si="13"/>
        <v>0</v>
      </c>
      <c r="G38" s="101">
        <f t="shared" si="14"/>
        <v>94.61360000016208</v>
      </c>
      <c r="H38" s="102">
        <f t="shared" si="15"/>
        <v>4.15622769073027</v>
      </c>
      <c r="I38" s="103">
        <f t="shared" si="0"/>
        <v>0.965294903074994</v>
      </c>
      <c r="J38" s="110">
        <f t="shared" si="16"/>
        <v>201.28604916380868</v>
      </c>
      <c r="K38" s="100">
        <f t="shared" si="17"/>
        <v>17.075207845838573</v>
      </c>
      <c r="L38" s="101">
        <f t="shared" si="18"/>
        <v>204.53003693958885</v>
      </c>
      <c r="M38" s="101">
        <f t="shared" si="19"/>
        <v>208.38151222184086</v>
      </c>
      <c r="N38" s="101">
        <f t="shared" si="20"/>
        <v>3.851475282252011</v>
      </c>
      <c r="O38" s="101">
        <f t="shared" si="21"/>
        <v>198.42473589363254</v>
      </c>
      <c r="P38" s="101">
        <f t="shared" si="22"/>
        <v>4.270581323942898</v>
      </c>
      <c r="Q38" s="103">
        <f t="shared" si="1"/>
        <v>0.9442591163433636</v>
      </c>
      <c r="R38" s="100">
        <f t="shared" si="2"/>
        <v>407.8535473739507</v>
      </c>
      <c r="S38" s="101">
        <f t="shared" si="23"/>
        <v>409.41595417774784</v>
      </c>
      <c r="T38" s="101">
        <f t="shared" si="3"/>
        <v>851.0996997188216</v>
      </c>
      <c r="U38" s="101">
        <f t="shared" si="24"/>
        <v>2310.95171442969</v>
      </c>
      <c r="V38" s="101">
        <f t="shared" si="25"/>
        <v>2806.178242281842</v>
      </c>
      <c r="W38" s="101">
        <f t="shared" si="26"/>
        <v>405.6885968158214</v>
      </c>
      <c r="X38" s="101">
        <f t="shared" si="27"/>
        <v>421.16776238490843</v>
      </c>
      <c r="Y38" s="101">
        <f t="shared" si="28"/>
        <v>872.863461365714</v>
      </c>
      <c r="Z38" s="103">
        <f t="shared" si="29"/>
        <v>888.2431259118176</v>
      </c>
      <c r="AA38" s="115">
        <f t="shared" si="30"/>
        <v>1.2347858365030002</v>
      </c>
      <c r="AB38" s="116">
        <f t="shared" si="31"/>
        <v>1.239173288675062</v>
      </c>
      <c r="AC38" s="116">
        <f t="shared" si="32"/>
        <v>2.295487010548162</v>
      </c>
      <c r="AD38" s="116">
        <f t="shared" si="4"/>
        <v>1.270952359609237</v>
      </c>
      <c r="AE38" s="117">
        <f t="shared" si="5"/>
        <v>2.3734858274010144</v>
      </c>
      <c r="AF38" s="100">
        <f t="shared" si="33"/>
        <v>9.51784322795878</v>
      </c>
      <c r="AG38" s="103">
        <f t="shared" si="34"/>
        <v>18.89269123185429</v>
      </c>
      <c r="AH38" s="100">
        <f t="shared" si="6"/>
        <v>121.67264602251416</v>
      </c>
      <c r="AI38" s="101">
        <f t="shared" si="35"/>
        <v>250.9668505832988</v>
      </c>
      <c r="AJ38" s="117">
        <f t="shared" si="7"/>
        <v>1.5126594887709355</v>
      </c>
      <c r="AK38" s="100">
        <f t="shared" si="8"/>
        <v>9.56780879092139</v>
      </c>
      <c r="AL38" s="101">
        <f t="shared" si="9"/>
        <v>5.28839241373867</v>
      </c>
      <c r="AM38" s="101">
        <f t="shared" si="36"/>
        <v>2.3903664535855635</v>
      </c>
      <c r="AN38" s="101">
        <f t="shared" si="37"/>
        <v>0.6165635711626893</v>
      </c>
      <c r="AO38" s="103">
        <f t="shared" si="38"/>
        <v>17.863131229408314</v>
      </c>
      <c r="AP38" s="122">
        <f t="shared" si="39"/>
        <v>0.47878827922678474</v>
      </c>
    </row>
    <row r="39" spans="1:42" ht="12.75">
      <c r="A39" s="2"/>
      <c r="B39" s="49">
        <v>100</v>
      </c>
      <c r="C39" s="100">
        <f t="shared" si="10"/>
        <v>1.0866671806281316</v>
      </c>
      <c r="D39" s="101">
        <f t="shared" si="11"/>
        <v>101.94608498097885</v>
      </c>
      <c r="E39" s="101">
        <f t="shared" si="12"/>
        <v>101.94608498097885</v>
      </c>
      <c r="F39" s="101">
        <f t="shared" si="13"/>
        <v>0</v>
      </c>
      <c r="G39" s="101">
        <f t="shared" si="14"/>
        <v>99.56011859150465</v>
      </c>
      <c r="H39" s="102">
        <f t="shared" si="15"/>
        <v>4.157969350196485</v>
      </c>
      <c r="I39" s="103">
        <f t="shared" si="0"/>
        <v>0.9652719805280129</v>
      </c>
      <c r="J39" s="110">
        <f t="shared" si="16"/>
        <v>201.28604916380868</v>
      </c>
      <c r="K39" s="100">
        <f t="shared" si="17"/>
        <v>17.06470173160453</v>
      </c>
      <c r="L39" s="101">
        <f t="shared" si="18"/>
        <v>204.49999824104222</v>
      </c>
      <c r="M39" s="101">
        <f t="shared" si="19"/>
        <v>208.31544301236983</v>
      </c>
      <c r="N39" s="101">
        <f t="shared" si="20"/>
        <v>3.8154447713276056</v>
      </c>
      <c r="O39" s="101">
        <f t="shared" si="21"/>
        <v>198.50585500391145</v>
      </c>
      <c r="P39" s="101">
        <f t="shared" si="22"/>
        <v>4.275250604042207</v>
      </c>
      <c r="Q39" s="103">
        <f t="shared" si="1"/>
        <v>0.9426397766696174</v>
      </c>
      <c r="R39" s="100">
        <f t="shared" si="2"/>
        <v>428.52790900162154</v>
      </c>
      <c r="S39" s="101">
        <f t="shared" si="23"/>
        <v>430.32079609591517</v>
      </c>
      <c r="T39" s="101">
        <f t="shared" si="3"/>
        <v>851.4580122030817</v>
      </c>
      <c r="U39" s="101">
        <f t="shared" si="24"/>
        <v>2337.2192324019766</v>
      </c>
      <c r="V39" s="101">
        <f t="shared" si="25"/>
        <v>2806.0546446505555</v>
      </c>
      <c r="W39" s="101">
        <f t="shared" si="26"/>
        <v>427.31294903704503</v>
      </c>
      <c r="X39" s="101">
        <f t="shared" si="27"/>
        <v>442.8317418829235</v>
      </c>
      <c r="Y39" s="101">
        <f t="shared" si="28"/>
        <v>872.7273654421762</v>
      </c>
      <c r="Z39" s="103">
        <f t="shared" si="29"/>
        <v>888.1076240875341</v>
      </c>
      <c r="AA39" s="115">
        <f t="shared" si="30"/>
        <v>1.2906399769465149</v>
      </c>
      <c r="AB39" s="116">
        <f t="shared" si="31"/>
        <v>1.2955745509732692</v>
      </c>
      <c r="AC39" s="116">
        <f t="shared" si="32"/>
        <v>2.296246481580708</v>
      </c>
      <c r="AD39" s="116">
        <f t="shared" si="4"/>
        <v>1.328948932886785</v>
      </c>
      <c r="AE39" s="117">
        <f t="shared" si="5"/>
        <v>2.3732034677064933</v>
      </c>
      <c r="AF39" s="100">
        <f t="shared" si="33"/>
        <v>10.25688054942721</v>
      </c>
      <c r="AG39" s="103">
        <f t="shared" si="34"/>
        <v>18.169579422311383</v>
      </c>
      <c r="AH39" s="100">
        <f t="shared" si="6"/>
        <v>121.75793485332109</v>
      </c>
      <c r="AI39" s="101">
        <f t="shared" si="35"/>
        <v>250.9668505832988</v>
      </c>
      <c r="AJ39" s="117">
        <f t="shared" si="7"/>
        <v>1.5131561108807396</v>
      </c>
      <c r="AK39" s="100">
        <f t="shared" si="8"/>
        <v>8.747853948117651</v>
      </c>
      <c r="AL39" s="101">
        <f t="shared" si="9"/>
        <v>6.0629975724003415</v>
      </c>
      <c r="AM39" s="101">
        <f t="shared" si="36"/>
        <v>2.2879971181444154</v>
      </c>
      <c r="AN39" s="101">
        <f t="shared" si="37"/>
        <v>0.695501980324216</v>
      </c>
      <c r="AO39" s="103">
        <f t="shared" si="38"/>
        <v>17.794350618986623</v>
      </c>
      <c r="AP39" s="122">
        <f t="shared" si="39"/>
        <v>0.4791261414125676</v>
      </c>
    </row>
    <row r="40" spans="1:42" ht="12.75">
      <c r="A40" s="2"/>
      <c r="B40" s="49">
        <v>105</v>
      </c>
      <c r="C40" s="100">
        <f t="shared" si="10"/>
        <v>1.298294811390707</v>
      </c>
      <c r="D40" s="101">
        <f t="shared" si="11"/>
        <v>107.07105188163096</v>
      </c>
      <c r="E40" s="101">
        <f t="shared" si="12"/>
        <v>107.07105188163096</v>
      </c>
      <c r="F40" s="101">
        <f t="shared" si="13"/>
        <v>0</v>
      </c>
      <c r="G40" s="101">
        <f t="shared" si="14"/>
        <v>104.50345775262917</v>
      </c>
      <c r="H40" s="102">
        <f t="shared" si="15"/>
        <v>4.159837837350095</v>
      </c>
      <c r="I40" s="103">
        <f t="shared" si="0"/>
        <v>0.9652225717331689</v>
      </c>
      <c r="J40" s="110">
        <f t="shared" si="16"/>
        <v>201.28604916380868</v>
      </c>
      <c r="K40" s="100">
        <f t="shared" si="17"/>
        <v>17.0506700743569</v>
      </c>
      <c r="L40" s="101">
        <f t="shared" si="18"/>
        <v>204.45985698709364</v>
      </c>
      <c r="M40" s="101">
        <f t="shared" si="19"/>
        <v>208.22716355646588</v>
      </c>
      <c r="N40" s="101">
        <f t="shared" si="20"/>
        <v>3.767306569372238</v>
      </c>
      <c r="O40" s="101">
        <f t="shared" si="21"/>
        <v>198.58855779761865</v>
      </c>
      <c r="P40" s="101">
        <f t="shared" si="22"/>
        <v>4.280106510640397</v>
      </c>
      <c r="Q40" s="103">
        <f t="shared" si="1"/>
        <v>0.9409681517012751</v>
      </c>
      <c r="R40" s="100">
        <f t="shared" si="2"/>
        <v>449.2153134053613</v>
      </c>
      <c r="S40" s="101">
        <f t="shared" si="23"/>
        <v>451.25435316360955</v>
      </c>
      <c r="T40" s="101">
        <f t="shared" si="3"/>
        <v>851.8233487146422</v>
      </c>
      <c r="U40" s="101">
        <f t="shared" si="24"/>
        <v>2363.1889652828586</v>
      </c>
      <c r="V40" s="101">
        <f t="shared" si="25"/>
        <v>2805.8894791667535</v>
      </c>
      <c r="W40" s="101">
        <f t="shared" si="26"/>
        <v>448.9692037620418</v>
      </c>
      <c r="X40" s="101">
        <f t="shared" si="27"/>
        <v>464.5266069818515</v>
      </c>
      <c r="Y40" s="101">
        <f t="shared" si="28"/>
        <v>872.5455055798761</v>
      </c>
      <c r="Z40" s="103">
        <f t="shared" si="29"/>
        <v>887.9265572966187</v>
      </c>
      <c r="AA40" s="115">
        <f t="shared" si="30"/>
        <v>1.3457968403137426</v>
      </c>
      <c r="AB40" s="116">
        <f t="shared" si="31"/>
        <v>1.3513015124457044</v>
      </c>
      <c r="AC40" s="116">
        <f t="shared" si="32"/>
        <v>2.297020705190111</v>
      </c>
      <c r="AD40" s="116">
        <f t="shared" si="4"/>
        <v>1.3862345079118064</v>
      </c>
      <c r="AE40" s="117">
        <f t="shared" si="5"/>
        <v>2.372826131413301</v>
      </c>
      <c r="AF40" s="100">
        <f t="shared" si="33"/>
        <v>10.995682461686956</v>
      </c>
      <c r="AG40" s="103">
        <f t="shared" si="34"/>
        <v>17.432644008532662</v>
      </c>
      <c r="AH40" s="100">
        <f t="shared" si="6"/>
        <v>121.82005076613957</v>
      </c>
      <c r="AI40" s="101">
        <f t="shared" si="35"/>
        <v>250.9668505832988</v>
      </c>
      <c r="AJ40" s="117">
        <f t="shared" si="7"/>
        <v>1.5136975185653714</v>
      </c>
      <c r="AK40" s="100">
        <f t="shared" si="8"/>
        <v>7.974857383962828</v>
      </c>
      <c r="AL40" s="101">
        <f t="shared" si="9"/>
        <v>6.877243498706221</v>
      </c>
      <c r="AM40" s="101">
        <f t="shared" si="36"/>
        <v>2.181379976340171</v>
      </c>
      <c r="AN40" s="101">
        <f t="shared" si="37"/>
        <v>0.7780907222980586</v>
      </c>
      <c r="AO40" s="103">
        <f t="shared" si="38"/>
        <v>17.81157158130728</v>
      </c>
      <c r="AP40" s="122">
        <f t="shared" si="39"/>
        <v>0.47937149056920225</v>
      </c>
    </row>
    <row r="41" spans="1:42" ht="12.75">
      <c r="A41" s="2"/>
      <c r="B41" s="49">
        <v>110</v>
      </c>
      <c r="C41" s="100">
        <f t="shared" si="10"/>
        <v>1.5427365616780828</v>
      </c>
      <c r="D41" s="101">
        <f t="shared" si="11"/>
        <v>112.19528690881492</v>
      </c>
      <c r="E41" s="101">
        <f t="shared" si="12"/>
        <v>112.19528690881492</v>
      </c>
      <c r="F41" s="101">
        <f t="shared" si="13"/>
        <v>0</v>
      </c>
      <c r="G41" s="101">
        <f t="shared" si="14"/>
        <v>109.44352045280067</v>
      </c>
      <c r="H41" s="102">
        <f t="shared" si="15"/>
        <v>4.161837763735373</v>
      </c>
      <c r="I41" s="103">
        <f t="shared" si="0"/>
        <v>0.9651470251918377</v>
      </c>
      <c r="J41" s="110">
        <f t="shared" si="16"/>
        <v>201.28604916380868</v>
      </c>
      <c r="K41" s="100">
        <f t="shared" si="17"/>
        <v>17.032816880802706</v>
      </c>
      <c r="L41" s="101">
        <f t="shared" si="18"/>
        <v>204.4087460465235</v>
      </c>
      <c r="M41" s="101">
        <f t="shared" si="19"/>
        <v>208.11477599605536</v>
      </c>
      <c r="N41" s="101">
        <f t="shared" si="20"/>
        <v>3.706029949531853</v>
      </c>
      <c r="O41" s="101">
        <f t="shared" si="21"/>
        <v>198.67268799304787</v>
      </c>
      <c r="P41" s="101">
        <f t="shared" si="22"/>
        <v>4.285154892367177</v>
      </c>
      <c r="Q41" s="103">
        <f t="shared" si="1"/>
        <v>0.9392423022899916</v>
      </c>
      <c r="R41" s="100">
        <f t="shared" si="2"/>
        <v>469.917571221092</v>
      </c>
      <c r="S41" s="101">
        <f t="shared" si="23"/>
        <v>472.2188177262016</v>
      </c>
      <c r="T41" s="101">
        <f t="shared" si="3"/>
        <v>852.1950204989589</v>
      </c>
      <c r="U41" s="101">
        <f t="shared" si="24"/>
        <v>2388.866487068673</v>
      </c>
      <c r="V41" s="101">
        <f t="shared" si="25"/>
        <v>2805.6791781545817</v>
      </c>
      <c r="W41" s="101">
        <f t="shared" si="26"/>
        <v>470.6617313559822</v>
      </c>
      <c r="X41" s="101">
        <f t="shared" si="27"/>
        <v>486.2563670579019</v>
      </c>
      <c r="Y41" s="101">
        <f t="shared" si="28"/>
        <v>872.3139601060146</v>
      </c>
      <c r="Z41" s="103">
        <f t="shared" si="29"/>
        <v>887.6960202422093</v>
      </c>
      <c r="AA41" s="115">
        <f t="shared" si="30"/>
        <v>1.4002793720122733</v>
      </c>
      <c r="AB41" s="116">
        <f t="shared" si="31"/>
        <v>1.4063776478688548</v>
      </c>
      <c r="AC41" s="116">
        <f t="shared" si="32"/>
        <v>2.297808214331795</v>
      </c>
      <c r="AD41" s="116">
        <f t="shared" si="4"/>
        <v>1.4428386444200607</v>
      </c>
      <c r="AE41" s="117">
        <f t="shared" si="5"/>
        <v>2.372345654634901</v>
      </c>
      <c r="AF41" s="100">
        <f t="shared" si="33"/>
        <v>11.735049921449457</v>
      </c>
      <c r="AG41" s="103">
        <f t="shared" si="34"/>
        <v>16.681423301502374</v>
      </c>
      <c r="AH41" s="100">
        <f t="shared" si="6"/>
        <v>121.85961336506534</v>
      </c>
      <c r="AI41" s="101">
        <f t="shared" si="35"/>
        <v>250.9668505832988</v>
      </c>
      <c r="AJ41" s="117">
        <f t="shared" si="7"/>
        <v>1.5142772906529942</v>
      </c>
      <c r="AK41" s="100">
        <f t="shared" si="8"/>
        <v>7.248476861522647</v>
      </c>
      <c r="AL41" s="101">
        <f t="shared" si="9"/>
        <v>7.7295329700923645</v>
      </c>
      <c r="AM41" s="101">
        <f t="shared" si="36"/>
        <v>2.070639020976388</v>
      </c>
      <c r="AN41" s="101">
        <f t="shared" si="37"/>
        <v>0.8644077077876273</v>
      </c>
      <c r="AO41" s="103">
        <f t="shared" si="38"/>
        <v>17.913056560379026</v>
      </c>
      <c r="AP41" s="122">
        <f t="shared" si="39"/>
        <v>0.4795268211507015</v>
      </c>
    </row>
    <row r="42" spans="1:42" ht="12.75">
      <c r="A42" s="2"/>
      <c r="B42" s="49">
        <v>115</v>
      </c>
      <c r="C42" s="100">
        <f t="shared" si="10"/>
        <v>1.8237288485479761</v>
      </c>
      <c r="D42" s="101">
        <f t="shared" si="11"/>
        <v>117.31905920943878</v>
      </c>
      <c r="E42" s="101">
        <f t="shared" si="12"/>
        <v>117.31905920943878</v>
      </c>
      <c r="F42" s="101">
        <f t="shared" si="13"/>
        <v>0</v>
      </c>
      <c r="G42" s="101">
        <f t="shared" si="14"/>
        <v>114.38018609620838</v>
      </c>
      <c r="H42" s="102">
        <f t="shared" si="15"/>
        <v>4.1639738606244086</v>
      </c>
      <c r="I42" s="103">
        <f t="shared" si="0"/>
        <v>0.9650455940458502</v>
      </c>
      <c r="J42" s="110">
        <f t="shared" si="16"/>
        <v>201.28604916380868</v>
      </c>
      <c r="K42" s="100">
        <f t="shared" si="17"/>
        <v>17.01082450147067</v>
      </c>
      <c r="L42" s="101">
        <f t="shared" si="18"/>
        <v>204.34572791965076</v>
      </c>
      <c r="M42" s="101">
        <f t="shared" si="19"/>
        <v>207.97623159608145</v>
      </c>
      <c r="N42" s="101">
        <f t="shared" si="20"/>
        <v>3.630503676430692</v>
      </c>
      <c r="O42" s="101">
        <f t="shared" si="21"/>
        <v>198.75806345056367</v>
      </c>
      <c r="P42" s="101">
        <f t="shared" si="22"/>
        <v>4.290402108898924</v>
      </c>
      <c r="Q42" s="103">
        <f t="shared" si="1"/>
        <v>0.9374601942455255</v>
      </c>
      <c r="R42" s="100">
        <f t="shared" si="2"/>
        <v>490.63649250681203</v>
      </c>
      <c r="S42" s="101">
        <f t="shared" si="23"/>
        <v>493.2164522943624</v>
      </c>
      <c r="T42" s="101">
        <f t="shared" si="3"/>
        <v>852.5722243599506</v>
      </c>
      <c r="U42" s="101">
        <f t="shared" si="24"/>
        <v>2414.2570919392356</v>
      </c>
      <c r="V42" s="101">
        <f t="shared" si="25"/>
        <v>2805.419884487501</v>
      </c>
      <c r="W42" s="101">
        <f t="shared" si="26"/>
        <v>492.39490173178854</v>
      </c>
      <c r="X42" s="101">
        <f t="shared" si="27"/>
        <v>508.0249883136447</v>
      </c>
      <c r="Y42" s="101">
        <f t="shared" si="28"/>
        <v>872.0284913787007</v>
      </c>
      <c r="Z42" s="103">
        <f t="shared" si="29"/>
        <v>887.4117927364983</v>
      </c>
      <c r="AA42" s="115">
        <f t="shared" si="30"/>
        <v>1.4541095175061276</v>
      </c>
      <c r="AB42" s="116">
        <f t="shared" si="31"/>
        <v>1.460825700819838</v>
      </c>
      <c r="AC42" s="116">
        <f t="shared" si="32"/>
        <v>2.2986073004670575</v>
      </c>
      <c r="AD42" s="116">
        <f t="shared" si="4"/>
        <v>1.4987895996850769</v>
      </c>
      <c r="AE42" s="117">
        <f t="shared" si="5"/>
        <v>2.371753206737063</v>
      </c>
      <c r="AF42" s="100">
        <f t="shared" si="33"/>
        <v>12.475765967228153</v>
      </c>
      <c r="AG42" s="103">
        <f t="shared" si="34"/>
        <v>15.915433057368064</v>
      </c>
      <c r="AH42" s="100">
        <f t="shared" si="6"/>
        <v>121.87716461698736</v>
      </c>
      <c r="AI42" s="101">
        <f t="shared" si="35"/>
        <v>250.9668505832988</v>
      </c>
      <c r="AJ42" s="117">
        <f t="shared" si="7"/>
        <v>1.5148874508941503</v>
      </c>
      <c r="AK42" s="100">
        <f t="shared" si="8"/>
        <v>6.568454074008727</v>
      </c>
      <c r="AL42" s="101">
        <f t="shared" si="9"/>
        <v>8.61844678228433</v>
      </c>
      <c r="AM42" s="101">
        <f t="shared" si="36"/>
        <v>1.9559425385412197</v>
      </c>
      <c r="AN42" s="101">
        <f t="shared" si="37"/>
        <v>0.954566551672053</v>
      </c>
      <c r="AO42" s="103">
        <f t="shared" si="38"/>
        <v>18.09740994650633</v>
      </c>
      <c r="AP42" s="122">
        <f t="shared" si="39"/>
        <v>0.47959432445498845</v>
      </c>
    </row>
    <row r="43" spans="1:42" ht="12.75">
      <c r="A43" s="2"/>
      <c r="B43" s="49">
        <v>120</v>
      </c>
      <c r="C43" s="100">
        <f t="shared" si="10"/>
        <v>2.1452649761996025</v>
      </c>
      <c r="D43" s="101">
        <f t="shared" si="11"/>
        <v>122.44261942664616</v>
      </c>
      <c r="E43" s="101">
        <f t="shared" si="12"/>
        <v>122.44261942664616</v>
      </c>
      <c r="F43" s="101">
        <f t="shared" si="13"/>
        <v>0</v>
      </c>
      <c r="G43" s="101">
        <f t="shared" si="14"/>
        <v>119.31331326979279</v>
      </c>
      <c r="H43" s="102">
        <f t="shared" si="15"/>
        <v>4.16625099054237</v>
      </c>
      <c r="I43" s="103">
        <f t="shared" si="0"/>
        <v>0.9649184401378199</v>
      </c>
      <c r="J43" s="110">
        <f t="shared" si="16"/>
        <v>201.28604916380868</v>
      </c>
      <c r="K43" s="100">
        <f t="shared" si="17"/>
        <v>16.984352014820317</v>
      </c>
      <c r="L43" s="101">
        <f t="shared" si="18"/>
        <v>204.26978811496878</v>
      </c>
      <c r="M43" s="101">
        <f t="shared" si="19"/>
        <v>207.8093171763619</v>
      </c>
      <c r="N43" s="101">
        <f t="shared" si="20"/>
        <v>3.539529061393125</v>
      </c>
      <c r="O43" s="101">
        <f t="shared" si="21"/>
        <v>198.84447328658314</v>
      </c>
      <c r="P43" s="101">
        <f t="shared" si="22"/>
        <v>4.295855020684238</v>
      </c>
      <c r="Q43" s="103">
        <f t="shared" si="1"/>
        <v>0.9356196930151989</v>
      </c>
      <c r="R43" s="100">
        <f t="shared" si="2"/>
        <v>511.3739015903438</v>
      </c>
      <c r="S43" s="101">
        <f t="shared" si="23"/>
        <v>514.2496034291227</v>
      </c>
      <c r="T43" s="101">
        <f t="shared" si="3"/>
        <v>852.9540298504951</v>
      </c>
      <c r="U43" s="101">
        <f t="shared" si="24"/>
        <v>2439.3658312764474</v>
      </c>
      <c r="V43" s="101">
        <f t="shared" si="25"/>
        <v>2805.1074243515573</v>
      </c>
      <c r="W43" s="101">
        <f t="shared" si="26"/>
        <v>514.1731253736151</v>
      </c>
      <c r="X43" s="101">
        <f t="shared" si="27"/>
        <v>529.8364350112441</v>
      </c>
      <c r="Y43" s="101">
        <f t="shared" si="28"/>
        <v>871.6845164529925</v>
      </c>
      <c r="Z43" s="103">
        <f t="shared" si="29"/>
        <v>887.0693104236213</v>
      </c>
      <c r="AA43" s="115">
        <f t="shared" si="30"/>
        <v>1.5073083347972092</v>
      </c>
      <c r="AB43" s="116">
        <f t="shared" si="31"/>
        <v>1.5146677566564295</v>
      </c>
      <c r="AC43" s="116">
        <f t="shared" si="32"/>
        <v>2.2994159866991413</v>
      </c>
      <c r="AD43" s="116">
        <f t="shared" si="4"/>
        <v>1.5541145027999534</v>
      </c>
      <c r="AE43" s="117">
        <f t="shared" si="5"/>
        <v>2.3710392267976084</v>
      </c>
      <c r="AF43" s="100">
        <f t="shared" si="33"/>
        <v>13.218600006024054</v>
      </c>
      <c r="AG43" s="103">
        <f t="shared" si="34"/>
        <v>15.134164530272477</v>
      </c>
      <c r="AH43" s="100">
        <f t="shared" si="6"/>
        <v>121.87317201081797</v>
      </c>
      <c r="AI43" s="101">
        <f t="shared" si="35"/>
        <v>250.9668505832988</v>
      </c>
      <c r="AJ43" s="117">
        <f t="shared" si="7"/>
        <v>1.5155182882353655</v>
      </c>
      <c r="AK43" s="100">
        <f t="shared" si="8"/>
        <v>5.934612278821746</v>
      </c>
      <c r="AL43" s="101">
        <f t="shared" si="9"/>
        <v>9.542731921842815</v>
      </c>
      <c r="AM43" s="101">
        <f t="shared" si="36"/>
        <v>1.8375097019465771</v>
      </c>
      <c r="AN43" s="101">
        <f t="shared" si="37"/>
        <v>1.048712989634701</v>
      </c>
      <c r="AO43" s="103">
        <f t="shared" si="38"/>
        <v>18.36356689224584</v>
      </c>
      <c r="AP43" s="122">
        <f t="shared" si="39"/>
        <v>0.4795759019282688</v>
      </c>
    </row>
    <row r="44" spans="1:42" ht="12.75">
      <c r="A44" s="2"/>
      <c r="B44" s="49">
        <v>125</v>
      </c>
      <c r="C44" s="100">
        <f t="shared" si="10"/>
        <v>2.5115982838981936</v>
      </c>
      <c r="D44" s="101">
        <f t="shared" si="11"/>
        <v>127.56620445656236</v>
      </c>
      <c r="E44" s="101">
        <f t="shared" si="12"/>
        <v>127.56620445656236</v>
      </c>
      <c r="F44" s="101">
        <f t="shared" si="13"/>
        <v>0</v>
      </c>
      <c r="G44" s="101">
        <f t="shared" si="14"/>
        <v>124.24274222855257</v>
      </c>
      <c r="H44" s="102">
        <f t="shared" si="15"/>
        <v>4.168674160173149</v>
      </c>
      <c r="I44" s="103">
        <f t="shared" si="0"/>
        <v>0.9647656369996909</v>
      </c>
      <c r="J44" s="110">
        <f t="shared" si="16"/>
        <v>201.28604916380868</v>
      </c>
      <c r="K44" s="100">
        <f t="shared" si="17"/>
        <v>16.953033480188918</v>
      </c>
      <c r="L44" s="101">
        <f t="shared" si="18"/>
        <v>204.17982775058329</v>
      </c>
      <c r="M44" s="101">
        <f t="shared" si="19"/>
        <v>207.61164007467244</v>
      </c>
      <c r="N44" s="101">
        <f t="shared" si="20"/>
        <v>3.431812324089151</v>
      </c>
      <c r="O44" s="101">
        <f t="shared" si="21"/>
        <v>198.9316746419599</v>
      </c>
      <c r="P44" s="101">
        <f t="shared" si="22"/>
        <v>4.3015209610710095</v>
      </c>
      <c r="Q44" s="103">
        <f t="shared" si="1"/>
        <v>0.9337185586566936</v>
      </c>
      <c r="R44" s="100">
        <f t="shared" si="2"/>
        <v>532.1316512642751</v>
      </c>
      <c r="S44" s="101">
        <f t="shared" si="23"/>
        <v>535.3207167691386</v>
      </c>
      <c r="T44" s="101">
        <f t="shared" si="3"/>
        <v>853.3393649286112</v>
      </c>
      <c r="U44" s="101">
        <f t="shared" si="24"/>
        <v>2464.197547474373</v>
      </c>
      <c r="V44" s="101">
        <f t="shared" si="25"/>
        <v>2804.737276819726</v>
      </c>
      <c r="W44" s="101">
        <f t="shared" si="26"/>
        <v>536.0008937912571</v>
      </c>
      <c r="X44" s="101">
        <f t="shared" si="27"/>
        <v>551.6947108917151</v>
      </c>
      <c r="Y44" s="101">
        <f t="shared" si="28"/>
        <v>871.2770743691185</v>
      </c>
      <c r="Z44" s="103">
        <f t="shared" si="29"/>
        <v>886.6636321253678</v>
      </c>
      <c r="AA44" s="115">
        <f t="shared" si="30"/>
        <v>1.559896098764866</v>
      </c>
      <c r="AB44" s="116">
        <f t="shared" si="31"/>
        <v>1.5679253137731537</v>
      </c>
      <c r="AC44" s="116">
        <f t="shared" si="32"/>
        <v>2.3002319976923458</v>
      </c>
      <c r="AD44" s="116">
        <f t="shared" si="4"/>
        <v>1.6088395152627537</v>
      </c>
      <c r="AE44" s="117">
        <f t="shared" si="5"/>
        <v>2.3701933525110874</v>
      </c>
      <c r="AF44" s="100">
        <f t="shared" si="33"/>
        <v>13.964311863852533</v>
      </c>
      <c r="AG44" s="103">
        <f t="shared" si="34"/>
        <v>14.337082299742224</v>
      </c>
      <c r="AH44" s="100">
        <f t="shared" si="6"/>
        <v>121.84803090751414</v>
      </c>
      <c r="AI44" s="101">
        <f t="shared" si="35"/>
        <v>250.9668505832988</v>
      </c>
      <c r="AJ44" s="117">
        <f t="shared" si="7"/>
        <v>1.516158181380996</v>
      </c>
      <c r="AK44" s="100">
        <f t="shared" si="8"/>
        <v>5.346854806621025</v>
      </c>
      <c r="AL44" s="101">
        <f t="shared" si="9"/>
        <v>10.501291943552658</v>
      </c>
      <c r="AM44" s="101">
        <f t="shared" si="36"/>
        <v>1.7156180963923657</v>
      </c>
      <c r="AN44" s="101">
        <f t="shared" si="37"/>
        <v>1.1470221913162422</v>
      </c>
      <c r="AO44" s="103">
        <f t="shared" si="38"/>
        <v>18.71078703788229</v>
      </c>
      <c r="AP44" s="122">
        <f t="shared" si="39"/>
        <v>0.47947317522795146</v>
      </c>
    </row>
    <row r="45" spans="1:42" ht="12.75">
      <c r="A45" s="2"/>
      <c r="B45" s="49">
        <v>130</v>
      </c>
      <c r="C45" s="100">
        <f t="shared" si="10"/>
        <v>2.9272447641944748</v>
      </c>
      <c r="D45" s="101">
        <f t="shared" si="11"/>
        <v>132.69004190056233</v>
      </c>
      <c r="E45" s="101">
        <f t="shared" si="12"/>
        <v>132.69004190056233</v>
      </c>
      <c r="F45" s="101">
        <f t="shared" si="13"/>
        <v>0</v>
      </c>
      <c r="G45" s="101">
        <f t="shared" si="14"/>
        <v>129.16829708656985</v>
      </c>
      <c r="H45" s="102">
        <f t="shared" si="15"/>
        <v>4.171248534750729</v>
      </c>
      <c r="I45" s="103">
        <f t="shared" si="0"/>
        <v>0.9645871718381904</v>
      </c>
      <c r="J45" s="110">
        <f t="shared" si="16"/>
        <v>201.28604916380868</v>
      </c>
      <c r="K45" s="100">
        <f t="shared" si="17"/>
        <v>16.916476051840903</v>
      </c>
      <c r="L45" s="101">
        <f t="shared" si="18"/>
        <v>204.07465528043252</v>
      </c>
      <c r="M45" s="101">
        <f t="shared" si="19"/>
        <v>207.38061148027992</v>
      </c>
      <c r="N45" s="101">
        <f t="shared" si="20"/>
        <v>3.305956199847401</v>
      </c>
      <c r="O45" s="101">
        <f t="shared" si="21"/>
        <v>199.01938905132135</v>
      </c>
      <c r="P45" s="101">
        <f t="shared" si="22"/>
        <v>4.307407685623179</v>
      </c>
      <c r="Q45" s="103">
        <f t="shared" si="1"/>
        <v>0.9317544413811595</v>
      </c>
      <c r="R45" s="100">
        <f t="shared" si="2"/>
        <v>552.9116362521894</v>
      </c>
      <c r="S45" s="101">
        <f t="shared" si="23"/>
        <v>556.4323529861966</v>
      </c>
      <c r="T45" s="101">
        <f t="shared" si="3"/>
        <v>853.7269998428745</v>
      </c>
      <c r="U45" s="101">
        <f t="shared" si="24"/>
        <v>2488.7569046424023</v>
      </c>
      <c r="V45" s="101">
        <f t="shared" si="25"/>
        <v>2804.304539825249</v>
      </c>
      <c r="W45" s="101">
        <f t="shared" si="26"/>
        <v>557.8828193569522</v>
      </c>
      <c r="X45" s="101">
        <f t="shared" si="27"/>
        <v>573.6039003776973</v>
      </c>
      <c r="Y45" s="101">
        <f t="shared" si="28"/>
        <v>870.8007896357692</v>
      </c>
      <c r="Z45" s="103">
        <f t="shared" si="29"/>
        <v>886.1894033816935</v>
      </c>
      <c r="AA45" s="115">
        <f t="shared" si="30"/>
        <v>1.6118923971375105</v>
      </c>
      <c r="AB45" s="116">
        <f t="shared" si="31"/>
        <v>1.6206193527282298</v>
      </c>
      <c r="AC45" s="116">
        <f t="shared" si="32"/>
        <v>2.301052725874652</v>
      </c>
      <c r="AD45" s="116">
        <f t="shared" si="4"/>
        <v>1.6629899788748834</v>
      </c>
      <c r="AE45" s="117">
        <f t="shared" si="5"/>
        <v>2.36920434054191</v>
      </c>
      <c r="AF45" s="100">
        <f t="shared" si="33"/>
        <v>14.713655654482586</v>
      </c>
      <c r="AG45" s="103">
        <f t="shared" si="34"/>
        <v>13.523621854653742</v>
      </c>
      <c r="AH45" s="100">
        <f t="shared" si="6"/>
        <v>121.80206612191608</v>
      </c>
      <c r="AI45" s="101">
        <f t="shared" si="35"/>
        <v>250.9668505832988</v>
      </c>
      <c r="AJ45" s="117">
        <f t="shared" si="7"/>
        <v>1.5167934251575594</v>
      </c>
      <c r="AK45" s="100">
        <f t="shared" si="8"/>
        <v>4.8051645042860756</v>
      </c>
      <c r="AL45" s="101">
        <f t="shared" si="9"/>
        <v>11.493179261838506</v>
      </c>
      <c r="AM45" s="101">
        <f t="shared" si="36"/>
        <v>1.5906123306454554</v>
      </c>
      <c r="AN45" s="101">
        <f t="shared" si="37"/>
        <v>1.2496968952335537</v>
      </c>
      <c r="AO45" s="103">
        <f t="shared" si="38"/>
        <v>19.138652992003593</v>
      </c>
      <c r="AP45" s="122">
        <f t="shared" si="39"/>
        <v>0.4792874932174935</v>
      </c>
    </row>
    <row r="46" spans="1:42" ht="12.75">
      <c r="A46" s="2"/>
      <c r="B46" s="49">
        <v>135</v>
      </c>
      <c r="C46" s="100">
        <f t="shared" si="10"/>
        <v>3.396985251729774</v>
      </c>
      <c r="D46" s="101">
        <f t="shared" si="11"/>
        <v>137.81435422635442</v>
      </c>
      <c r="E46" s="101">
        <f t="shared" si="12"/>
        <v>137.81435422635442</v>
      </c>
      <c r="F46" s="101">
        <f t="shared" si="13"/>
        <v>0</v>
      </c>
      <c r="G46" s="101">
        <f t="shared" si="14"/>
        <v>134.08978769466154</v>
      </c>
      <c r="H46" s="102">
        <f t="shared" si="15"/>
        <v>4.173979454063223</v>
      </c>
      <c r="I46" s="103">
        <f t="shared" si="0"/>
        <v>0.9643829465666832</v>
      </c>
      <c r="J46" s="110">
        <f t="shared" si="16"/>
        <v>201.28604916380868</v>
      </c>
      <c r="K46" s="100">
        <f t="shared" si="17"/>
        <v>16.87425794602197</v>
      </c>
      <c r="L46" s="101">
        <f t="shared" si="18"/>
        <v>203.9529772284752</v>
      </c>
      <c r="M46" s="101">
        <f t="shared" si="19"/>
        <v>207.1134279565373</v>
      </c>
      <c r="N46" s="101">
        <f t="shared" si="20"/>
        <v>3.160450728062102</v>
      </c>
      <c r="O46" s="101">
        <f t="shared" si="21"/>
        <v>199.10729835210498</v>
      </c>
      <c r="P46" s="101">
        <f t="shared" si="22"/>
        <v>4.313523289115547</v>
      </c>
      <c r="Q46" s="103">
        <f t="shared" si="1"/>
        <v>0.9297248781540776</v>
      </c>
      <c r="R46" s="100">
        <f t="shared" si="2"/>
        <v>573.7158059279491</v>
      </c>
      <c r="S46" s="101">
        <f t="shared" si="23"/>
        <v>577.5872045321089</v>
      </c>
      <c r="T46" s="101">
        <f t="shared" si="3"/>
        <v>854.1155289761924</v>
      </c>
      <c r="U46" s="101">
        <f t="shared" si="24"/>
        <v>2513.0484162954685</v>
      </c>
      <c r="V46" s="101">
        <f t="shared" si="25"/>
        <v>2803.8038920523695</v>
      </c>
      <c r="W46" s="101">
        <f t="shared" si="26"/>
        <v>579.8236745871125</v>
      </c>
      <c r="X46" s="101">
        <f t="shared" si="27"/>
        <v>595.5682093404614</v>
      </c>
      <c r="Y46" s="101">
        <f t="shared" si="28"/>
        <v>870.249831410422</v>
      </c>
      <c r="Z46" s="103">
        <f t="shared" si="29"/>
        <v>885.6408156869779</v>
      </c>
      <c r="AA46" s="115">
        <f t="shared" si="30"/>
        <v>1.6633162181801278</v>
      </c>
      <c r="AB46" s="116">
        <f t="shared" si="31"/>
        <v>1.6727704030612645</v>
      </c>
      <c r="AC46" s="116">
        <f t="shared" si="32"/>
        <v>2.301875193350909</v>
      </c>
      <c r="AD46" s="116">
        <f t="shared" si="4"/>
        <v>1.7165905521242761</v>
      </c>
      <c r="AE46" s="117">
        <f t="shared" si="5"/>
        <v>2.3680599771587705</v>
      </c>
      <c r="AF46" s="100">
        <f t="shared" si="33"/>
        <v>15.467383519070472</v>
      </c>
      <c r="AG46" s="103">
        <f t="shared" si="34"/>
        <v>12.693186910286475</v>
      </c>
      <c r="AH46" s="100">
        <f t="shared" si="6"/>
        <v>121.73553276189874</v>
      </c>
      <c r="AI46" s="101">
        <f t="shared" si="35"/>
        <v>250.9668505832988</v>
      </c>
      <c r="AJ46" s="117">
        <f t="shared" si="7"/>
        <v>1.5174080552218103</v>
      </c>
      <c r="AK46" s="100">
        <f t="shared" si="8"/>
        <v>4.309604167814705</v>
      </c>
      <c r="AL46" s="101">
        <f t="shared" si="9"/>
        <v>12.517589120968822</v>
      </c>
      <c r="AM46" s="101">
        <f t="shared" si="36"/>
        <v>1.4629139120528594</v>
      </c>
      <c r="AN46" s="101">
        <f t="shared" si="37"/>
        <v>1.3569663003366963</v>
      </c>
      <c r="AO46" s="103">
        <f t="shared" si="38"/>
        <v>19.647073501173082</v>
      </c>
      <c r="AP46" s="122">
        <f t="shared" si="39"/>
        <v>0.4790199360085413</v>
      </c>
    </row>
    <row r="47" spans="1:42" ht="12.75">
      <c r="A47" s="2"/>
      <c r="B47" s="49">
        <v>140</v>
      </c>
      <c r="C47" s="100">
        <f t="shared" si="10"/>
        <v>3.9258672949297058</v>
      </c>
      <c r="D47" s="101">
        <f t="shared" si="11"/>
        <v>142.93936266006477</v>
      </c>
      <c r="E47" s="101">
        <f t="shared" si="12"/>
        <v>142.93936266006477</v>
      </c>
      <c r="F47" s="101">
        <f t="shared" si="13"/>
        <v>0</v>
      </c>
      <c r="G47" s="101">
        <f t="shared" si="14"/>
        <v>139.00701119497108</v>
      </c>
      <c r="H47" s="102">
        <f t="shared" si="15"/>
        <v>4.176872450220105</v>
      </c>
      <c r="I47" s="103">
        <f t="shared" si="0"/>
        <v>0.9641527779139291</v>
      </c>
      <c r="J47" s="110">
        <f t="shared" si="16"/>
        <v>201.28604916380868</v>
      </c>
      <c r="K47" s="100">
        <f t="shared" si="17"/>
        <v>16.825926252625035</v>
      </c>
      <c r="L47" s="101">
        <f t="shared" si="18"/>
        <v>203.81338779399493</v>
      </c>
      <c r="M47" s="101">
        <f t="shared" si="19"/>
        <v>206.8070509483934</v>
      </c>
      <c r="N47" s="101">
        <f t="shared" si="20"/>
        <v>2.9936631543984618</v>
      </c>
      <c r="O47" s="101">
        <f t="shared" si="21"/>
        <v>199.1950400625825</v>
      </c>
      <c r="P47" s="101">
        <f t="shared" si="22"/>
        <v>4.319876073323538</v>
      </c>
      <c r="Q47" s="103">
        <f t="shared" si="1"/>
        <v>0.9276272912147905</v>
      </c>
      <c r="R47" s="100">
        <f t="shared" si="2"/>
        <v>594.5461763149184</v>
      </c>
      <c r="S47" s="101">
        <f t="shared" si="23"/>
        <v>598.7881131097738</v>
      </c>
      <c r="T47" s="101">
        <f t="shared" si="3"/>
        <v>854.5033503355522</v>
      </c>
      <c r="U47" s="101">
        <f t="shared" si="24"/>
        <v>2537.076470145479</v>
      </c>
      <c r="V47" s="101">
        <f t="shared" si="25"/>
        <v>2803.229550179887</v>
      </c>
      <c r="W47" s="101">
        <f t="shared" si="26"/>
        <v>601.8284310315601</v>
      </c>
      <c r="X47" s="101">
        <f t="shared" si="27"/>
        <v>617.5920053704679</v>
      </c>
      <c r="Y47" s="101">
        <f t="shared" si="28"/>
        <v>869.6178677943569</v>
      </c>
      <c r="Z47" s="103">
        <f t="shared" si="29"/>
        <v>885.0115608382459</v>
      </c>
      <c r="AA47" s="115">
        <f t="shared" si="30"/>
        <v>1.714186030408555</v>
      </c>
      <c r="AB47" s="116">
        <f t="shared" si="31"/>
        <v>1.724398607806506</v>
      </c>
      <c r="AC47" s="116">
        <f t="shared" si="32"/>
        <v>2.3026960088646553</v>
      </c>
      <c r="AD47" s="116">
        <f t="shared" si="4"/>
        <v>1.7696653363450967</v>
      </c>
      <c r="AE47" s="117">
        <f t="shared" si="5"/>
        <v>2.366746977779485</v>
      </c>
      <c r="AF47" s="100">
        <f t="shared" si="33"/>
        <v>16.226249288245846</v>
      </c>
      <c r="AG47" s="103">
        <f t="shared" si="34"/>
        <v>11.845146428778364</v>
      </c>
      <c r="AH47" s="100">
        <f t="shared" si="6"/>
        <v>121.64861633477695</v>
      </c>
      <c r="AI47" s="101">
        <f t="shared" si="35"/>
        <v>250.9668505832988</v>
      </c>
      <c r="AJ47" s="117">
        <f t="shared" si="7"/>
        <v>1.5179836669123221</v>
      </c>
      <c r="AK47" s="100">
        <f t="shared" si="8"/>
        <v>3.860318024517703</v>
      </c>
      <c r="AL47" s="101">
        <f t="shared" si="9"/>
        <v>13.573855058418872</v>
      </c>
      <c r="AM47" s="101">
        <f t="shared" si="36"/>
        <v>1.3330325950047563</v>
      </c>
      <c r="AN47" s="101">
        <f t="shared" si="37"/>
        <v>1.4690856600969995</v>
      </c>
      <c r="AO47" s="103">
        <f t="shared" si="38"/>
        <v>20.23629133803833</v>
      </c>
      <c r="AP47" s="122">
        <f t="shared" si="39"/>
        <v>0.47867131610671376</v>
      </c>
    </row>
    <row r="48" spans="1:42" ht="12.75">
      <c r="A48" s="2"/>
      <c r="B48" s="49">
        <v>145</v>
      </c>
      <c r="C48" s="100">
        <f t="shared" si="10"/>
        <v>4.519206834506678</v>
      </c>
      <c r="D48" s="101">
        <f t="shared" si="11"/>
        <v>148.06529083826126</v>
      </c>
      <c r="E48" s="101">
        <f t="shared" si="12"/>
        <v>148.06529083826126</v>
      </c>
      <c r="F48" s="101">
        <f t="shared" si="13"/>
        <v>0</v>
      </c>
      <c r="G48" s="101">
        <f t="shared" si="14"/>
        <v>143.91975324942848</v>
      </c>
      <c r="H48" s="102">
        <f t="shared" si="15"/>
        <v>4.179933267358549</v>
      </c>
      <c r="I48" s="103">
        <f t="shared" si="0"/>
        <v>0.9638963966209517</v>
      </c>
      <c r="J48" s="110">
        <f t="shared" si="16"/>
        <v>201.28604916380868</v>
      </c>
      <c r="K48" s="100">
        <f t="shared" si="17"/>
        <v>16.770994582901466</v>
      </c>
      <c r="L48" s="101">
        <f t="shared" si="18"/>
        <v>203.6543571673126</v>
      </c>
      <c r="M48" s="101">
        <f t="shared" si="19"/>
        <v>206.4581840464836</v>
      </c>
      <c r="N48" s="101">
        <f t="shared" si="20"/>
        <v>2.803826879170998</v>
      </c>
      <c r="O48" s="101">
        <f t="shared" si="21"/>
        <v>199.2822021467457</v>
      </c>
      <c r="P48" s="101">
        <f t="shared" si="22"/>
        <v>4.32647433547799</v>
      </c>
      <c r="Q48" s="103">
        <f t="shared" si="1"/>
        <v>0.9254589900611261</v>
      </c>
      <c r="R48" s="100">
        <f t="shared" si="2"/>
        <v>615.4048414265777</v>
      </c>
      <c r="S48" s="101">
        <f t="shared" si="23"/>
        <v>620.0380878639966</v>
      </c>
      <c r="T48" s="101">
        <f t="shared" si="3"/>
        <v>854.8886423251205</v>
      </c>
      <c r="U48" s="101">
        <f t="shared" si="24"/>
        <v>2560.845350153549</v>
      </c>
      <c r="V48" s="101">
        <f t="shared" si="25"/>
        <v>2802.5752208149447</v>
      </c>
      <c r="W48" s="101">
        <f t="shared" si="26"/>
        <v>623.9022980232858</v>
      </c>
      <c r="X48" s="101">
        <f t="shared" si="27"/>
        <v>639.6798576273293</v>
      </c>
      <c r="Y48" s="101">
        <f t="shared" si="28"/>
        <v>868.898014559631</v>
      </c>
      <c r="Z48" s="103">
        <f t="shared" si="29"/>
        <v>884.2947797109448</v>
      </c>
      <c r="AA48" s="115">
        <f t="shared" si="30"/>
        <v>1.7645198547997105</v>
      </c>
      <c r="AB48" s="116">
        <f t="shared" si="31"/>
        <v>1.775523785857278</v>
      </c>
      <c r="AC48" s="116">
        <f t="shared" si="32"/>
        <v>2.3035113190391416</v>
      </c>
      <c r="AD48" s="116">
        <f t="shared" si="4"/>
        <v>1.8222379930310586</v>
      </c>
      <c r="AE48" s="117">
        <f t="shared" si="5"/>
        <v>2.365250873811411</v>
      </c>
      <c r="AF48" s="100">
        <f t="shared" si="33"/>
        <v>16.99101211766861</v>
      </c>
      <c r="AG48" s="103">
        <f t="shared" si="34"/>
        <v>10.978831306256511</v>
      </c>
      <c r="AH48" s="100">
        <f t="shared" si="6"/>
        <v>121.54143211476138</v>
      </c>
      <c r="AI48" s="101">
        <f t="shared" si="35"/>
        <v>250.9668505832988</v>
      </c>
      <c r="AJ48" s="117">
        <f t="shared" si="7"/>
        <v>1.5184992234433234</v>
      </c>
      <c r="AK48" s="100">
        <f t="shared" si="8"/>
        <v>3.457534333166052</v>
      </c>
      <c r="AL48" s="101">
        <f t="shared" si="9"/>
        <v>14.661445720886888</v>
      </c>
      <c r="AM48" s="101">
        <f t="shared" si="36"/>
        <v>1.2015794505311257</v>
      </c>
      <c r="AN48" s="101">
        <f t="shared" si="37"/>
        <v>1.5863365371859128</v>
      </c>
      <c r="AO48" s="103">
        <f t="shared" si="38"/>
        <v>20.906896041769976</v>
      </c>
      <c r="AP48" s="122">
        <f t="shared" si="39"/>
        <v>0.4782421766554426</v>
      </c>
    </row>
    <row r="49" spans="1:42" ht="12.75">
      <c r="A49" s="2"/>
      <c r="B49" s="49">
        <v>150</v>
      </c>
      <c r="C49" s="100">
        <f t="shared" si="10"/>
        <v>5.18258982437195</v>
      </c>
      <c r="D49" s="101">
        <f t="shared" si="11"/>
        <v>153.19236825397644</v>
      </c>
      <c r="E49" s="101">
        <f t="shared" si="12"/>
        <v>153.19236825397644</v>
      </c>
      <c r="F49" s="101">
        <f t="shared" si="13"/>
        <v>0</v>
      </c>
      <c r="G49" s="101">
        <f t="shared" si="14"/>
        <v>148.82778894319415</v>
      </c>
      <c r="H49" s="102">
        <f t="shared" si="15"/>
        <v>4.183167883495274</v>
      </c>
      <c r="I49" s="103">
        <f t="shared" si="0"/>
        <v>0.963613445717099</v>
      </c>
      <c r="J49" s="110">
        <f t="shared" si="16"/>
        <v>201.28604916380868</v>
      </c>
      <c r="K49" s="100">
        <f t="shared" si="17"/>
        <v>16.708940544641763</v>
      </c>
      <c r="L49" s="101">
        <f t="shared" si="18"/>
        <v>203.47421836657287</v>
      </c>
      <c r="M49" s="101">
        <f t="shared" si="19"/>
        <v>206.0632477534835</v>
      </c>
      <c r="N49" s="101">
        <f t="shared" si="20"/>
        <v>2.5890293869106245</v>
      </c>
      <c r="O49" s="101">
        <f t="shared" si="21"/>
        <v>199.36831707004654</v>
      </c>
      <c r="P49" s="101">
        <f t="shared" si="22"/>
        <v>4.333326022251409</v>
      </c>
      <c r="Q49" s="103">
        <f t="shared" si="1"/>
        <v>0.9232171797560491</v>
      </c>
      <c r="R49" s="100">
        <f t="shared" si="2"/>
        <v>636.2939840357573</v>
      </c>
      <c r="S49" s="101">
        <f t="shared" si="23"/>
        <v>641.3403243448571</v>
      </c>
      <c r="T49" s="101">
        <f t="shared" si="3"/>
        <v>855.2693373792482</v>
      </c>
      <c r="U49" s="101">
        <f t="shared" si="24"/>
        <v>2584.359256064998</v>
      </c>
      <c r="V49" s="101">
        <f t="shared" si="25"/>
        <v>2801.8340463358277</v>
      </c>
      <c r="W49" s="101">
        <f t="shared" si="26"/>
        <v>646.0507616256972</v>
      </c>
      <c r="X49" s="101">
        <f t="shared" si="27"/>
        <v>661.8365764629132</v>
      </c>
      <c r="Y49" s="101">
        <f t="shared" si="28"/>
        <v>868.0827775050069</v>
      </c>
      <c r="Z49" s="103">
        <f t="shared" si="29"/>
        <v>883.4830046570032</v>
      </c>
      <c r="AA49" s="115">
        <f t="shared" si="30"/>
        <v>1.814335330070249</v>
      </c>
      <c r="AB49" s="116">
        <f t="shared" si="31"/>
        <v>1.826165492460191</v>
      </c>
      <c r="AC49" s="116">
        <f t="shared" si="32"/>
        <v>2.3043167529971003</v>
      </c>
      <c r="AD49" s="116">
        <f t="shared" si="4"/>
        <v>1.8743318537410234</v>
      </c>
      <c r="AE49" s="117">
        <f t="shared" si="5"/>
        <v>2.3635558848790037</v>
      </c>
      <c r="AF49" s="100">
        <f t="shared" si="33"/>
        <v>17.76244014821312</v>
      </c>
      <c r="AG49" s="103">
        <f t="shared" si="34"/>
        <v>10.093530681823522</v>
      </c>
      <c r="AH49" s="100">
        <f t="shared" si="6"/>
        <v>121.4140237480629</v>
      </c>
      <c r="AI49" s="101">
        <f t="shared" si="35"/>
        <v>250.9668505832988</v>
      </c>
      <c r="AJ49" s="117">
        <f t="shared" si="7"/>
        <v>1.518930848072568</v>
      </c>
      <c r="AK49" s="100">
        <f t="shared" si="8"/>
        <v>3.1015691858204377</v>
      </c>
      <c r="AL49" s="101">
        <f t="shared" si="9"/>
        <v>15.779962934309609</v>
      </c>
      <c r="AM49" s="101">
        <f t="shared" si="36"/>
        <v>1.0692819508872968</v>
      </c>
      <c r="AN49" s="101">
        <f t="shared" si="37"/>
        <v>1.7090276899533845</v>
      </c>
      <c r="AO49" s="103">
        <f t="shared" si="38"/>
        <v>21.65984176097073</v>
      </c>
      <c r="AP49" s="122">
        <f t="shared" si="39"/>
        <v>0.47773278670601066</v>
      </c>
    </row>
    <row r="50" spans="1:42" ht="12.75">
      <c r="A50" s="2"/>
      <c r="B50" s="49">
        <v>155</v>
      </c>
      <c r="C50" s="100">
        <f t="shared" si="10"/>
        <v>5.921873942862365</v>
      </c>
      <c r="D50" s="101">
        <f t="shared" si="11"/>
        <v>158.32083353464725</v>
      </c>
      <c r="E50" s="101">
        <f t="shared" si="12"/>
        <v>158.32083353464725</v>
      </c>
      <c r="F50" s="101">
        <f t="shared" si="13"/>
        <v>0</v>
      </c>
      <c r="G50" s="101">
        <f t="shared" si="14"/>
        <v>153.73088336645236</v>
      </c>
      <c r="H50" s="102">
        <f t="shared" si="15"/>
        <v>4.18658253476314</v>
      </c>
      <c r="I50" s="103">
        <f t="shared" si="0"/>
        <v>0.9633034778450438</v>
      </c>
      <c r="J50" s="110">
        <f t="shared" si="16"/>
        <v>201.28604916380868</v>
      </c>
      <c r="K50" s="100">
        <f t="shared" si="17"/>
        <v>16.63920303647767</v>
      </c>
      <c r="L50" s="101">
        <f t="shared" si="18"/>
        <v>203.27115237183347</v>
      </c>
      <c r="M50" s="101">
        <f t="shared" si="19"/>
        <v>205.61835147243158</v>
      </c>
      <c r="N50" s="101">
        <f t="shared" si="20"/>
        <v>2.347199100598118</v>
      </c>
      <c r="O50" s="101">
        <f t="shared" si="21"/>
        <v>199.45285503311004</v>
      </c>
      <c r="P50" s="101">
        <f t="shared" si="22"/>
        <v>4.340438144292315</v>
      </c>
      <c r="Q50" s="103">
        <f t="shared" si="1"/>
        <v>0.9208989810454286</v>
      </c>
      <c r="R50" s="100">
        <f t="shared" si="2"/>
        <v>657.2158859786615</v>
      </c>
      <c r="S50" s="101">
        <f t="shared" si="23"/>
        <v>662.6982243495427</v>
      </c>
      <c r="T50" s="101">
        <f t="shared" si="3"/>
        <v>855.6430919579502</v>
      </c>
      <c r="U50" s="101">
        <f t="shared" si="24"/>
        <v>2607.6223207166922</v>
      </c>
      <c r="V50" s="101">
        <f t="shared" si="25"/>
        <v>2800.9985437216164</v>
      </c>
      <c r="W50" s="101">
        <f t="shared" si="26"/>
        <v>668.2796241951494</v>
      </c>
      <c r="X50" s="101">
        <f t="shared" si="27"/>
        <v>684.0672531158468</v>
      </c>
      <c r="Y50" s="101">
        <f t="shared" si="28"/>
        <v>867.1639874935263</v>
      </c>
      <c r="Z50" s="103">
        <f t="shared" si="29"/>
        <v>882.568094575239</v>
      </c>
      <c r="AA50" s="115">
        <f t="shared" si="30"/>
        <v>1.8636497716565223</v>
      </c>
      <c r="AB50" s="116">
        <f t="shared" si="31"/>
        <v>1.876343078219723</v>
      </c>
      <c r="AC50" s="116">
        <f t="shared" si="32"/>
        <v>2.305107359299619</v>
      </c>
      <c r="AD50" s="116">
        <f t="shared" si="4"/>
        <v>1.925970024083587</v>
      </c>
      <c r="AE50" s="117">
        <f t="shared" si="5"/>
        <v>2.3616447741757955</v>
      </c>
      <c r="AF50" s="100">
        <f t="shared" si="33"/>
        <v>18.541314242929833</v>
      </c>
      <c r="AG50" s="103">
        <f t="shared" si="34"/>
        <v>9.188487814139998</v>
      </c>
      <c r="AH50" s="100">
        <f t="shared" si="6"/>
        <v>121.26636105350786</v>
      </c>
      <c r="AI50" s="101">
        <f t="shared" si="35"/>
        <v>250.9668505832988</v>
      </c>
      <c r="AJ50" s="117">
        <f t="shared" si="7"/>
        <v>1.519251594284331</v>
      </c>
      <c r="AK50" s="100">
        <f t="shared" si="8"/>
        <v>2.792831616264351</v>
      </c>
      <c r="AL50" s="101">
        <f t="shared" si="9"/>
        <v>16.929140968707145</v>
      </c>
      <c r="AM50" s="101">
        <f t="shared" si="36"/>
        <v>0.9370014192874548</v>
      </c>
      <c r="AN50" s="101">
        <f t="shared" si="37"/>
        <v>1.8374965760515776</v>
      </c>
      <c r="AO50" s="103">
        <f t="shared" si="38"/>
        <v>22.49647058031053</v>
      </c>
      <c r="AP50" s="122">
        <f t="shared" si="39"/>
        <v>0.4771431333696324</v>
      </c>
    </row>
    <row r="51" spans="1:42" ht="12.75">
      <c r="A51" s="2"/>
      <c r="B51" s="49">
        <v>160</v>
      </c>
      <c r="C51" s="100">
        <f t="shared" si="10"/>
        <v>6.743190555803991</v>
      </c>
      <c r="D51" s="101">
        <f t="shared" si="11"/>
        <v>163.45093759285947</v>
      </c>
      <c r="E51" s="101">
        <f t="shared" si="12"/>
        <v>163.45093759285947</v>
      </c>
      <c r="F51" s="101">
        <f t="shared" si="13"/>
        <v>0</v>
      </c>
      <c r="G51" s="101">
        <f t="shared" si="14"/>
        <v>158.6287918784854</v>
      </c>
      <c r="H51" s="102">
        <f t="shared" si="15"/>
        <v>4.190183742311989</v>
      </c>
      <c r="I51" s="103">
        <f t="shared" si="0"/>
        <v>0.9629659515813027</v>
      </c>
      <c r="J51" s="110">
        <f t="shared" si="16"/>
        <v>201.28604916380868</v>
      </c>
      <c r="K51" s="100">
        <f t="shared" si="17"/>
        <v>16.56117935350923</v>
      </c>
      <c r="L51" s="101">
        <f t="shared" si="18"/>
        <v>203.0431712910651</v>
      </c>
      <c r="M51" s="101">
        <f t="shared" si="19"/>
        <v>205.119262411536</v>
      </c>
      <c r="N51" s="101">
        <f t="shared" si="20"/>
        <v>2.076091120470892</v>
      </c>
      <c r="O51" s="101">
        <f t="shared" si="21"/>
        <v>199.53521624997177</v>
      </c>
      <c r="P51" s="101">
        <f t="shared" si="22"/>
        <v>4.3478157405583655</v>
      </c>
      <c r="Q51" s="103">
        <f t="shared" si="1"/>
        <v>0.9185014733841992</v>
      </c>
      <c r="R51" s="100">
        <f t="shared" si="2"/>
        <v>678.1729381132918</v>
      </c>
      <c r="S51" s="101">
        <f t="shared" si="23"/>
        <v>684.1154167993403</v>
      </c>
      <c r="T51" s="101">
        <f t="shared" si="3"/>
        <v>856.0072523173465</v>
      </c>
      <c r="U51" s="101">
        <f t="shared" si="24"/>
        <v>2630.638625467382</v>
      </c>
      <c r="V51" s="101">
        <f t="shared" si="25"/>
        <v>2800.0605352760076</v>
      </c>
      <c r="W51" s="101">
        <f t="shared" si="26"/>
        <v>690.5950450587784</v>
      </c>
      <c r="X51" s="101">
        <f t="shared" si="27"/>
        <v>706.3772998704453</v>
      </c>
      <c r="Y51" s="101">
        <f t="shared" si="28"/>
        <v>866.1327270499773</v>
      </c>
      <c r="Z51" s="103">
        <f t="shared" si="29"/>
        <v>881.5411615288438</v>
      </c>
      <c r="AA51" s="115">
        <f t="shared" si="30"/>
        <v>1.9124802250561321</v>
      </c>
      <c r="AB51" s="116">
        <f t="shared" si="31"/>
        <v>1.926075747080688</v>
      </c>
      <c r="AC51" s="116">
        <f t="shared" si="32"/>
        <v>2.3058775339498365</v>
      </c>
      <c r="AD51" s="116">
        <f t="shared" si="4"/>
        <v>1.9771754833131283</v>
      </c>
      <c r="AE51" s="117">
        <f t="shared" si="5"/>
        <v>2.35949868424768</v>
      </c>
      <c r="AF51" s="100">
        <f t="shared" si="33"/>
        <v>19.32843185502655</v>
      </c>
      <c r="AG51" s="103">
        <f t="shared" si="34"/>
        <v>8.262895460206174</v>
      </c>
      <c r="AH51" s="100">
        <f t="shared" si="6"/>
        <v>121.09833695577423</v>
      </c>
      <c r="AI51" s="101">
        <f t="shared" si="35"/>
        <v>250.9668505832988</v>
      </c>
      <c r="AJ51" s="117">
        <f t="shared" si="7"/>
        <v>1.5194311872998514</v>
      </c>
      <c r="AK51" s="100">
        <f t="shared" si="8"/>
        <v>2.5318301477153824</v>
      </c>
      <c r="AL51" s="101">
        <f t="shared" si="9"/>
        <v>18.108846976461138</v>
      </c>
      <c r="AM51" s="101">
        <f t="shared" si="36"/>
        <v>0.8057532639497405</v>
      </c>
      <c r="AN51" s="101">
        <f t="shared" si="37"/>
        <v>1.972111473833162</v>
      </c>
      <c r="AO51" s="103">
        <f t="shared" si="38"/>
        <v>23.418541861959422</v>
      </c>
      <c r="AP51" s="122">
        <f t="shared" si="39"/>
        <v>0.47647291062763186</v>
      </c>
    </row>
    <row r="52" spans="1:42" ht="12.75">
      <c r="A52" s="2"/>
      <c r="B52" s="49">
        <v>165</v>
      </c>
      <c r="C52" s="100">
        <f t="shared" si="10"/>
        <v>7.652947108691683</v>
      </c>
      <c r="D52" s="101">
        <f t="shared" si="11"/>
        <v>168.58294669317888</v>
      </c>
      <c r="E52" s="101">
        <f t="shared" si="12"/>
        <v>168.58294669317888</v>
      </c>
      <c r="F52" s="101">
        <f t="shared" si="13"/>
        <v>0</v>
      </c>
      <c r="G52" s="101">
        <f t="shared" si="14"/>
        <v>163.52126005720623</v>
      </c>
      <c r="H52" s="102">
        <f t="shared" si="15"/>
        <v>4.193978342198572</v>
      </c>
      <c r="I52" s="103">
        <f t="shared" si="0"/>
        <v>0.9626002266733283</v>
      </c>
      <c r="J52" s="110">
        <f t="shared" si="16"/>
        <v>201.28604916380868</v>
      </c>
      <c r="K52" s="100">
        <f t="shared" si="17"/>
        <v>16.474222097448614</v>
      </c>
      <c r="L52" s="101">
        <f t="shared" si="18"/>
        <v>202.78809924206553</v>
      </c>
      <c r="M52" s="101">
        <f t="shared" si="19"/>
        <v>204.56137107878936</v>
      </c>
      <c r="N52" s="101">
        <f t="shared" si="20"/>
        <v>1.7732718367238363</v>
      </c>
      <c r="O52" s="101">
        <f t="shared" si="21"/>
        <v>199.61472211217625</v>
      </c>
      <c r="P52" s="101">
        <f t="shared" si="22"/>
        <v>4.355459940135763</v>
      </c>
      <c r="Q52" s="103">
        <f t="shared" si="1"/>
        <v>0.916021784806877</v>
      </c>
      <c r="R52" s="100">
        <f t="shared" si="2"/>
        <v>699.1676500612199</v>
      </c>
      <c r="S52" s="101">
        <f t="shared" si="23"/>
        <v>705.5957798587983</v>
      </c>
      <c r="T52" s="101">
        <f t="shared" si="3"/>
        <v>856.3588153573136</v>
      </c>
      <c r="U52" s="101">
        <f t="shared" si="24"/>
        <v>2653.4122141467737</v>
      </c>
      <c r="V52" s="101">
        <f t="shared" si="25"/>
        <v>2799.011069948211</v>
      </c>
      <c r="W52" s="101">
        <f t="shared" si="26"/>
        <v>713.0035828958502</v>
      </c>
      <c r="X52" s="101">
        <f t="shared" si="27"/>
        <v>728.7724911635056</v>
      </c>
      <c r="Y52" s="101">
        <f t="shared" si="28"/>
        <v>864.9792471850365</v>
      </c>
      <c r="Z52" s="103">
        <f t="shared" si="29"/>
        <v>880.3924875724437</v>
      </c>
      <c r="AA52" s="115">
        <f t="shared" si="30"/>
        <v>1.9608435141938683</v>
      </c>
      <c r="AB52" s="116">
        <f t="shared" si="31"/>
        <v>1.9753826138341057</v>
      </c>
      <c r="AC52" s="116">
        <f t="shared" si="32"/>
        <v>2.3066209379686424</v>
      </c>
      <c r="AD52" s="116">
        <f t="shared" si="4"/>
        <v>2.0279711811234202</v>
      </c>
      <c r="AE52" s="117">
        <f t="shared" si="5"/>
        <v>2.3570969499896934</v>
      </c>
      <c r="AF52" s="100">
        <f t="shared" si="33"/>
        <v>20.12461108459986</v>
      </c>
      <c r="AG52" s="103">
        <f t="shared" si="34"/>
        <v>7.315890677645409</v>
      </c>
      <c r="AH52" s="100">
        <f t="shared" si="6"/>
        <v>120.90976346497571</v>
      </c>
      <c r="AI52" s="101">
        <f t="shared" si="35"/>
        <v>250.9668505832988</v>
      </c>
      <c r="AJ52" s="117">
        <f t="shared" si="7"/>
        <v>1.5194357292901284</v>
      </c>
      <c r="AK52" s="100">
        <f t="shared" si="8"/>
        <v>2.3191809478047176</v>
      </c>
      <c r="AL52" s="101">
        <f t="shared" si="9"/>
        <v>19.319082619347085</v>
      </c>
      <c r="AM52" s="101">
        <f t="shared" si="36"/>
        <v>0.6767305005583588</v>
      </c>
      <c r="AN52" s="101">
        <f t="shared" si="37"/>
        <v>2.113274238918115</v>
      </c>
      <c r="AO52" s="103">
        <f t="shared" si="38"/>
        <v>24.42826830662828</v>
      </c>
      <c r="AP52" s="122">
        <f t="shared" si="39"/>
        <v>0.47572150448634076</v>
      </c>
    </row>
    <row r="53" spans="1:42" ht="12.75">
      <c r="A53" s="2"/>
      <c r="B53" s="49">
        <v>170</v>
      </c>
      <c r="C53" s="100">
        <f t="shared" si="10"/>
        <v>8.657830144184484</v>
      </c>
      <c r="D53" s="101">
        <f t="shared" si="11"/>
        <v>173.71714548029246</v>
      </c>
      <c r="E53" s="101">
        <f t="shared" si="12"/>
        <v>173.71714548029246</v>
      </c>
      <c r="F53" s="101">
        <f t="shared" si="13"/>
        <v>0</v>
      </c>
      <c r="G53" s="101">
        <f t="shared" si="14"/>
        <v>168.40802333540188</v>
      </c>
      <c r="H53" s="102">
        <f t="shared" si="15"/>
        <v>4.1979735186442895</v>
      </c>
      <c r="I53" s="103">
        <f t="shared" si="0"/>
        <v>0.9622055580854706</v>
      </c>
      <c r="J53" s="110">
        <f t="shared" si="16"/>
        <v>201.28604916380868</v>
      </c>
      <c r="K53" s="100">
        <f t="shared" si="17"/>
        <v>16.377635886053874</v>
      </c>
      <c r="L53" s="101">
        <f t="shared" si="18"/>
        <v>202.50355057253228</v>
      </c>
      <c r="M53" s="101">
        <f t="shared" si="19"/>
        <v>203.93965302642795</v>
      </c>
      <c r="N53" s="101">
        <f t="shared" si="20"/>
        <v>1.4361024538956713</v>
      </c>
      <c r="O53" s="101">
        <f t="shared" si="21"/>
        <v>199.6906050490701</v>
      </c>
      <c r="P53" s="101">
        <f t="shared" si="22"/>
        <v>4.363364065611902</v>
      </c>
      <c r="Q53" s="103">
        <f t="shared" si="1"/>
        <v>0.9134572846992499</v>
      </c>
      <c r="R53" s="100">
        <f t="shared" si="2"/>
        <v>720.2026598675179</v>
      </c>
      <c r="S53" s="101">
        <f t="shared" si="23"/>
        <v>727.1434645557928</v>
      </c>
      <c r="T53" s="101">
        <f t="shared" si="3"/>
        <v>856.6943837131805</v>
      </c>
      <c r="U53" s="101">
        <f t="shared" si="24"/>
        <v>2675.94710594446</v>
      </c>
      <c r="V53" s="101">
        <f t="shared" si="25"/>
        <v>2797.840333707401</v>
      </c>
      <c r="W53" s="101">
        <f t="shared" si="26"/>
        <v>735.5122405106328</v>
      </c>
      <c r="X53" s="101">
        <f t="shared" si="27"/>
        <v>751.2590062130568</v>
      </c>
      <c r="Y53" s="101">
        <f t="shared" si="28"/>
        <v>863.6928728547567</v>
      </c>
      <c r="Z53" s="103">
        <f t="shared" si="29"/>
        <v>879.1114301920225</v>
      </c>
      <c r="AA53" s="115">
        <f t="shared" si="30"/>
        <v>2.008756285458289</v>
      </c>
      <c r="AB53" s="116">
        <f t="shared" si="31"/>
        <v>2.024282761765999</v>
      </c>
      <c r="AC53" s="116">
        <f t="shared" si="32"/>
        <v>2.307330402755573</v>
      </c>
      <c r="AD53" s="116">
        <f t="shared" si="4"/>
        <v>2.0783801332975327</v>
      </c>
      <c r="AE53" s="117">
        <f t="shared" si="5"/>
        <v>2.354416884994677</v>
      </c>
      <c r="AF53" s="100">
        <f t="shared" si="33"/>
        <v>20.930694987054892</v>
      </c>
      <c r="AG53" s="103">
        <f t="shared" si="34"/>
        <v>6.346548955761969</v>
      </c>
      <c r="AH53" s="100">
        <f t="shared" si="6"/>
        <v>120.70036658949905</v>
      </c>
      <c r="AI53" s="101">
        <f t="shared" si="35"/>
        <v>250.9668505832988</v>
      </c>
      <c r="AJ53" s="117">
        <f t="shared" si="7"/>
        <v>1.5192273593962278</v>
      </c>
      <c r="AK53" s="100">
        <f t="shared" si="8"/>
        <v>2.155617803030939</v>
      </c>
      <c r="AL53" s="101">
        <f t="shared" si="9"/>
        <v>20.55998693614508</v>
      </c>
      <c r="AM53" s="101">
        <f t="shared" si="36"/>
        <v>0.5513311723574195</v>
      </c>
      <c r="AN53" s="101">
        <f t="shared" si="37"/>
        <v>2.261423732081151</v>
      </c>
      <c r="AO53" s="103">
        <f t="shared" si="38"/>
        <v>25.52835964361459</v>
      </c>
      <c r="AP53" s="122">
        <f t="shared" si="39"/>
        <v>0.47488797406151945</v>
      </c>
    </row>
    <row r="54" spans="1:42" ht="12.75">
      <c r="A54" s="55"/>
      <c r="B54" s="88">
        <v>175</v>
      </c>
      <c r="C54" s="100">
        <f t="shared" si="10"/>
        <v>9.764809164474102</v>
      </c>
      <c r="D54" s="101">
        <f t="shared" si="11"/>
        <v>178.8538400154236</v>
      </c>
      <c r="E54" s="101">
        <f t="shared" si="12"/>
        <v>178.8538400154236</v>
      </c>
      <c r="F54" s="101">
        <f t="shared" si="13"/>
        <v>0</v>
      </c>
      <c r="G54" s="101">
        <f t="shared" si="14"/>
        <v>173.28880632206813</v>
      </c>
      <c r="H54" s="102">
        <f t="shared" si="15"/>
        <v>4.2021768411010125</v>
      </c>
      <c r="I54" s="103">
        <f t="shared" si="0"/>
        <v>0.9617810887130974</v>
      </c>
      <c r="J54" s="110">
        <f t="shared" si="16"/>
        <v>201.28604916380868</v>
      </c>
      <c r="K54" s="100">
        <f t="shared" si="17"/>
        <v>16.270673859078624</v>
      </c>
      <c r="L54" s="101">
        <f t="shared" si="18"/>
        <v>202.18690496492206</v>
      </c>
      <c r="M54" s="101">
        <f t="shared" si="19"/>
        <v>203.2486265075413</v>
      </c>
      <c r="N54" s="101">
        <f t="shared" si="20"/>
        <v>1.0617215426192388</v>
      </c>
      <c r="O54" s="101">
        <f t="shared" si="21"/>
        <v>199.76199685632787</v>
      </c>
      <c r="P54" s="101">
        <f t="shared" si="22"/>
        <v>4.371505032595401</v>
      </c>
      <c r="Q54" s="103">
        <f t="shared" si="1"/>
        <v>0.9108060254845879</v>
      </c>
      <c r="R54" s="100">
        <f t="shared" si="2"/>
        <v>741.2807437165964</v>
      </c>
      <c r="S54" s="101">
        <f t="shared" si="23"/>
        <v>748.76292021664</v>
      </c>
      <c r="T54" s="101">
        <f t="shared" si="3"/>
        <v>857.0101140911888</v>
      </c>
      <c r="U54" s="101">
        <f t="shared" si="24"/>
        <v>2698.2473076675647</v>
      </c>
      <c r="V54" s="101">
        <f t="shared" si="25"/>
        <v>2796.5375471329235</v>
      </c>
      <c r="W54" s="101">
        <f t="shared" si="26"/>
        <v>758.1285128030501</v>
      </c>
      <c r="X54" s="101">
        <f t="shared" si="27"/>
        <v>773.8434738388651</v>
      </c>
      <c r="Y54" s="101">
        <f t="shared" si="28"/>
        <v>862.2618951488507</v>
      </c>
      <c r="Z54" s="103">
        <f t="shared" si="29"/>
        <v>877.6863144443738</v>
      </c>
      <c r="AA54" s="115">
        <f t="shared" si="30"/>
        <v>2.056235048023865</v>
      </c>
      <c r="AB54" s="116">
        <f t="shared" si="31"/>
        <v>2.0727953011443434</v>
      </c>
      <c r="AC54" s="116">
        <f t="shared" si="32"/>
        <v>2.307997821084682</v>
      </c>
      <c r="AD54" s="116">
        <f t="shared" si="4"/>
        <v>2.128425517976741</v>
      </c>
      <c r="AE54" s="117">
        <f t="shared" si="5"/>
        <v>2.351433536601026</v>
      </c>
      <c r="AF54" s="100">
        <f t="shared" si="33"/>
        <v>21.747556203449516</v>
      </c>
      <c r="AG54" s="103">
        <f t="shared" si="34"/>
        <v>5.353877561148478</v>
      </c>
      <c r="AH54" s="100">
        <f t="shared" si="6"/>
        <v>120.46978003760856</v>
      </c>
      <c r="AI54" s="101">
        <f t="shared" si="35"/>
        <v>250.9668505832988</v>
      </c>
      <c r="AJ54" s="117">
        <f t="shared" si="7"/>
        <v>1.5187638579067217</v>
      </c>
      <c r="AK54" s="100">
        <f t="shared" si="8"/>
        <v>2.042004180085911</v>
      </c>
      <c r="AL54" s="101">
        <f t="shared" si="9"/>
        <v>21.83184054010985</v>
      </c>
      <c r="AM54" s="101">
        <f t="shared" si="36"/>
        <v>0.4311904078059441</v>
      </c>
      <c r="AN54" s="101">
        <f t="shared" si="37"/>
        <v>2.4170399761508747</v>
      </c>
      <c r="AO54" s="103">
        <f t="shared" si="38"/>
        <v>26.72207510415258</v>
      </c>
      <c r="AP54" s="122">
        <f t="shared" si="39"/>
        <v>0.47397102805902497</v>
      </c>
    </row>
    <row r="55" spans="1:42" ht="12.75">
      <c r="A55" s="77"/>
      <c r="B55" s="88">
        <v>180</v>
      </c>
      <c r="C55" s="100">
        <f t="shared" si="10"/>
        <v>10.9811415874779</v>
      </c>
      <c r="D55" s="101">
        <f t="shared" si="11"/>
        <v>183.9933608694755</v>
      </c>
      <c r="E55" s="101">
        <f t="shared" si="12"/>
        <v>183.9933608694755</v>
      </c>
      <c r="F55" s="101">
        <f t="shared" si="13"/>
        <v>0</v>
      </c>
      <c r="G55" s="101">
        <f t="shared" si="14"/>
        <v>178.1633218034097</v>
      </c>
      <c r="H55" s="102">
        <f t="shared" si="15"/>
        <v>4.206596305639359</v>
      </c>
      <c r="I55" s="103">
        <f t="shared" si="0"/>
        <v>0.96132584058535</v>
      </c>
      <c r="J55" s="110">
        <f t="shared" si="16"/>
        <v>201.28604916380868</v>
      </c>
      <c r="K55" s="100">
        <f t="shared" si="17"/>
        <v>16.152533981795262</v>
      </c>
      <c r="L55" s="101">
        <f t="shared" si="18"/>
        <v>201.83527888027535</v>
      </c>
      <c r="M55" s="101">
        <f t="shared" si="19"/>
        <v>202.48230573758423</v>
      </c>
      <c r="N55" s="101">
        <f t="shared" si="20"/>
        <v>0.6470268573088731</v>
      </c>
      <c r="O55" s="101">
        <f t="shared" si="21"/>
        <v>199.82791521715995</v>
      </c>
      <c r="P55" s="101">
        <f t="shared" si="22"/>
        <v>4.379821811679104</v>
      </c>
      <c r="Q55" s="103">
        <f t="shared" si="1"/>
        <v>0.908067871533863</v>
      </c>
      <c r="R55" s="100">
        <f t="shared" si="2"/>
        <v>762.4048258415421</v>
      </c>
      <c r="S55" s="101">
        <f t="shared" si="23"/>
        <v>770.4589220918186</v>
      </c>
      <c r="T55" s="101">
        <f t="shared" si="3"/>
        <v>857.3016576400598</v>
      </c>
      <c r="U55" s="101">
        <f t="shared" si="24"/>
        <v>2720.316825794391</v>
      </c>
      <c r="V55" s="101">
        <f t="shared" si="25"/>
        <v>2795.0908480363455</v>
      </c>
      <c r="W55" s="101">
        <f t="shared" si="26"/>
        <v>780.8604388882346</v>
      </c>
      <c r="X55" s="101">
        <f t="shared" si="27"/>
        <v>796.5330202511591</v>
      </c>
      <c r="Y55" s="101">
        <f t="shared" si="28"/>
        <v>860.6734479163385</v>
      </c>
      <c r="Z55" s="103">
        <f t="shared" si="29"/>
        <v>876.1043094961601</v>
      </c>
      <c r="AA55" s="115">
        <f t="shared" si="30"/>
        <v>2.103296211029698</v>
      </c>
      <c r="AB55" s="116">
        <f t="shared" si="31"/>
        <v>2.1209394293216617</v>
      </c>
      <c r="AC55" s="116">
        <f t="shared" si="32"/>
        <v>2.3086140211327364</v>
      </c>
      <c r="AD55" s="116">
        <f t="shared" si="4"/>
        <v>2.178130774460165</v>
      </c>
      <c r="AE55" s="117">
        <f t="shared" si="5"/>
        <v>2.3481194040135183</v>
      </c>
      <c r="AF55" s="100">
        <f t="shared" si="33"/>
        <v>22.576101992778238</v>
      </c>
      <c r="AG55" s="103">
        <f t="shared" si="34"/>
        <v>4.336807959733339</v>
      </c>
      <c r="AH55" s="100">
        <f t="shared" si="6"/>
        <v>120.21753752584938</v>
      </c>
      <c r="AI55" s="101">
        <f t="shared" si="35"/>
        <v>250.9668505832988</v>
      </c>
      <c r="AJ55" s="117">
        <f t="shared" si="7"/>
        <v>1.5179981815107135</v>
      </c>
      <c r="AK55" s="100">
        <f t="shared" si="8"/>
        <v>1.9793477102441699</v>
      </c>
      <c r="AL55" s="101">
        <f t="shared" si="9"/>
        <v>23.13507127574654</v>
      </c>
      <c r="AM55" s="101">
        <f t="shared" si="36"/>
        <v>0.3182180192652657</v>
      </c>
      <c r="AN55" s="101">
        <f t="shared" si="37"/>
        <v>2.5806491249832733</v>
      </c>
      <c r="AO55" s="103">
        <f t="shared" si="38"/>
        <v>28.01328613023925</v>
      </c>
      <c r="AP55" s="122">
        <f t="shared" si="39"/>
        <v>0.47296899597877734</v>
      </c>
    </row>
    <row r="56" spans="1:42" ht="12.75">
      <c r="A56" s="77"/>
      <c r="B56" s="88">
        <v>185</v>
      </c>
      <c r="C56" s="100">
        <f t="shared" si="10"/>
        <v>12.314379083306246</v>
      </c>
      <c r="D56" s="101">
        <f t="shared" si="11"/>
        <v>189.13606632261585</v>
      </c>
      <c r="E56" s="101">
        <f t="shared" si="12"/>
        <v>189.13606632261585</v>
      </c>
      <c r="F56" s="101">
        <f t="shared" si="13"/>
        <v>0</v>
      </c>
      <c r="G56" s="101">
        <f t="shared" si="14"/>
        <v>183.03126941346454</v>
      </c>
      <c r="H56" s="102">
        <f t="shared" si="15"/>
        <v>4.211240381259072</v>
      </c>
      <c r="I56" s="103">
        <f t="shared" si="0"/>
        <v>0.9608387043305777</v>
      </c>
      <c r="J56" s="110">
        <f t="shared" si="16"/>
        <v>201.28604916380868</v>
      </c>
      <c r="K56" s="100">
        <f t="shared" si="17"/>
        <v>16.022355154011134</v>
      </c>
      <c r="L56" s="101">
        <f t="shared" si="18"/>
        <v>201.4454926849925</v>
      </c>
      <c r="M56" s="101">
        <f t="shared" si="19"/>
        <v>201.63414953837378</v>
      </c>
      <c r="N56" s="101">
        <f t="shared" si="20"/>
        <v>0.1886568533812749</v>
      </c>
      <c r="O56" s="101">
        <f t="shared" si="21"/>
        <v>199.88724808118735</v>
      </c>
      <c r="P56" s="101">
        <f t="shared" si="22"/>
        <v>4.388150779632266</v>
      </c>
      <c r="Q56" s="103">
        <f t="shared" si="1"/>
        <v>0.9052479221113787</v>
      </c>
      <c r="R56" s="100">
        <f t="shared" si="2"/>
        <v>783.5779887604648</v>
      </c>
      <c r="S56" s="101">
        <f t="shared" si="23"/>
        <v>792.2366016181735</v>
      </c>
      <c r="T56" s="101">
        <f t="shared" si="3"/>
        <v>857.5640908922147</v>
      </c>
      <c r="U56" s="101">
        <f t="shared" si="24"/>
        <v>2742.159678753145</v>
      </c>
      <c r="V56" s="101">
        <f t="shared" si="25"/>
        <v>2793.487156546035</v>
      </c>
      <c r="W56" s="101">
        <f t="shared" si="26"/>
        <v>803.7166594984786</v>
      </c>
      <c r="X56" s="101">
        <f t="shared" si="27"/>
        <v>819.3353207081645</v>
      </c>
      <c r="Y56" s="101">
        <f t="shared" si="28"/>
        <v>858.9133660805894</v>
      </c>
      <c r="Z56" s="103">
        <f t="shared" si="29"/>
        <v>874.3512868037942</v>
      </c>
      <c r="AA56" s="115">
        <f t="shared" si="30"/>
        <v>2.14995611812955</v>
      </c>
      <c r="AB56" s="116">
        <f t="shared" si="31"/>
        <v>2.1687344933253505</v>
      </c>
      <c r="AC56" s="116">
        <f t="shared" si="32"/>
        <v>2.3091686203711768</v>
      </c>
      <c r="AD56" s="116">
        <f t="shared" si="4"/>
        <v>2.227519706658564</v>
      </c>
      <c r="AE56" s="117">
        <f t="shared" si="5"/>
        <v>2.3444441127007076</v>
      </c>
      <c r="AF56" s="100">
        <f t="shared" si="33"/>
        <v>23.41727975892744</v>
      </c>
      <c r="AG56" s="103">
        <f t="shared" si="34"/>
        <v>3.2941871477178317</v>
      </c>
      <c r="AH56" s="100">
        <f t="shared" si="6"/>
        <v>119.94306346669573</v>
      </c>
      <c r="AI56" s="101">
        <f t="shared" si="35"/>
        <v>250.9668505832988</v>
      </c>
      <c r="AJ56" s="117">
        <f t="shared" si="7"/>
        <v>1.5168779131601198</v>
      </c>
      <c r="AK56" s="100">
        <f t="shared" si="8"/>
        <v>1.9688175190460058</v>
      </c>
      <c r="AL56" s="101">
        <f t="shared" si="9"/>
        <v>24.47026150960859</v>
      </c>
      <c r="AM56" s="101">
        <f t="shared" si="36"/>
        <v>0.21464275200924215</v>
      </c>
      <c r="AN56" s="101">
        <f t="shared" si="37"/>
        <v>2.7528293582889436</v>
      </c>
      <c r="AO56" s="103">
        <f t="shared" si="38"/>
        <v>29.406551138952786</v>
      </c>
      <c r="AP56" s="122">
        <f t="shared" si="39"/>
        <v>0.47187979320092954</v>
      </c>
    </row>
    <row r="57" spans="1:42" ht="12.75">
      <c r="A57" s="77"/>
      <c r="B57" s="88">
        <v>190</v>
      </c>
      <c r="C57" s="100">
        <f t="shared" si="10"/>
        <v>13.772375119116065</v>
      </c>
      <c r="D57" s="101">
        <f t="shared" si="11"/>
        <v>194.28234400687938</v>
      </c>
      <c r="E57" s="101">
        <f t="shared" si="12"/>
        <v>194.28234400687938</v>
      </c>
      <c r="F57" s="101">
        <f t="shared" si="13"/>
        <v>0</v>
      </c>
      <c r="G57" s="101">
        <f t="shared" si="14"/>
        <v>187.89233451803426</v>
      </c>
      <c r="H57" s="102">
        <f t="shared" si="15"/>
        <v>4.216118062398088</v>
      </c>
      <c r="I57" s="103">
        <f t="shared" si="0"/>
        <v>0.9603184403141323</v>
      </c>
      <c r="J57" s="110">
        <f t="shared" si="16"/>
        <v>201.28604916380868</v>
      </c>
      <c r="K57" s="100">
        <f t="shared" si="17"/>
        <v>15.879212933576003</v>
      </c>
      <c r="L57" s="101">
        <f t="shared" si="18"/>
        <v>201.01403203754577</v>
      </c>
      <c r="M57" s="101">
        <f t="shared" si="19"/>
        <v>201.01403203754577</v>
      </c>
      <c r="N57" s="101">
        <f t="shared" si="20"/>
        <v>0</v>
      </c>
      <c r="O57" s="101">
        <f t="shared" si="21"/>
        <v>199.93873515965868</v>
      </c>
      <c r="P57" s="101">
        <f t="shared" si="22"/>
        <v>4.395967240147334</v>
      </c>
      <c r="Q57" s="103">
        <f t="shared" si="1"/>
        <v>0.9023702787297592</v>
      </c>
      <c r="R57" s="100">
        <f t="shared" si="2"/>
        <v>804.8034864124236</v>
      </c>
      <c r="S57" s="101">
        <f t="shared" si="23"/>
        <v>814.1014798461782</v>
      </c>
      <c r="T57" s="101">
        <f t="shared" si="3"/>
        <v>857.7918340165382</v>
      </c>
      <c r="U57" s="101">
        <f t="shared" si="24"/>
        <v>2763.7799027195965</v>
      </c>
      <c r="V57" s="101">
        <f t="shared" si="25"/>
        <v>2791.7028946954556</v>
      </c>
      <c r="W57" s="101">
        <f t="shared" si="26"/>
        <v>826.7064733643912</v>
      </c>
      <c r="X57" s="101">
        <f t="shared" si="27"/>
        <v>842.2586484596496</v>
      </c>
      <c r="Y57" s="101">
        <f t="shared" si="28"/>
        <v>856.9660194863799</v>
      </c>
      <c r="Z57" s="103">
        <f t="shared" si="29"/>
        <v>872.4116537742746</v>
      </c>
      <c r="AA57" s="115">
        <f t="shared" si="30"/>
        <v>2.1962310851678417</v>
      </c>
      <c r="AB57" s="116">
        <f t="shared" si="31"/>
        <v>2.2162000559210586</v>
      </c>
      <c r="AC57" s="116">
        <f t="shared" si="32"/>
        <v>2.3096498523416877</v>
      </c>
      <c r="AD57" s="116">
        <f t="shared" si="4"/>
        <v>2.2766165773365303</v>
      </c>
      <c r="AE57" s="117">
        <f t="shared" si="5"/>
        <v>2.3403740308650502</v>
      </c>
      <c r="AF57" s="100">
        <f t="shared" si="33"/>
        <v>24.272080791293874</v>
      </c>
      <c r="AG57" s="103">
        <f t="shared" si="34"/>
        <v>2.2247779469768045</v>
      </c>
      <c r="AH57" s="100">
        <f t="shared" si="6"/>
        <v>119.64567559026183</v>
      </c>
      <c r="AI57" s="101">
        <f t="shared" si="35"/>
        <v>250.9668505832988</v>
      </c>
      <c r="AJ57" s="117">
        <f t="shared" si="7"/>
        <v>1.5153446094483873</v>
      </c>
      <c r="AK57" s="100">
        <f t="shared" si="8"/>
        <v>2.0117210692637784</v>
      </c>
      <c r="AL57" s="101">
        <f t="shared" si="9"/>
        <v>25.838153646930238</v>
      </c>
      <c r="AM57" s="101">
        <f t="shared" si="36"/>
        <v>0.12306514621081222</v>
      </c>
      <c r="AN57" s="101">
        <f t="shared" si="37"/>
        <v>2.9342167670503096</v>
      </c>
      <c r="AO57" s="103">
        <f t="shared" si="38"/>
        <v>30.907156629455137</v>
      </c>
      <c r="AP57" s="122">
        <f t="shared" si="39"/>
        <v>0.4707009340327384</v>
      </c>
    </row>
    <row r="58" spans="1:42" ht="12.75">
      <c r="A58" s="77"/>
      <c r="B58" s="88">
        <v>195</v>
      </c>
      <c r="C58" s="104">
        <f t="shared" si="10"/>
        <v>15.363297277847906</v>
      </c>
      <c r="D58" s="105">
        <f t="shared" si="11"/>
        <v>199.43262182974388</v>
      </c>
      <c r="E58" s="105">
        <f t="shared" si="12"/>
        <v>199.43262182974388</v>
      </c>
      <c r="F58" s="105">
        <f t="shared" si="13"/>
        <v>0</v>
      </c>
      <c r="G58" s="105">
        <f t="shared" si="14"/>
        <v>192.7461837803786</v>
      </c>
      <c r="H58" s="106">
        <f t="shared" si="15"/>
        <v>4.221238924872457</v>
      </c>
      <c r="I58" s="107">
        <f t="shared" si="0"/>
        <v>0.9597636046703855</v>
      </c>
      <c r="J58" s="111">
        <f t="shared" si="16"/>
        <v>201.28604916380868</v>
      </c>
      <c r="K58" s="104">
        <f t="shared" si="17"/>
        <v>15.722116456439284</v>
      </c>
      <c r="L58" s="105">
        <f t="shared" si="18"/>
        <v>200.53700726777856</v>
      </c>
      <c r="M58" s="105">
        <f t="shared" si="19"/>
        <v>200.53700726777856</v>
      </c>
      <c r="N58" s="105">
        <f t="shared" si="20"/>
        <v>0</v>
      </c>
      <c r="O58" s="105">
        <f t="shared" si="21"/>
        <v>199.98094815894223</v>
      </c>
      <c r="P58" s="105">
        <f t="shared" si="22"/>
        <v>4.400579613816477</v>
      </c>
      <c r="Q58" s="107">
        <f t="shared" si="1"/>
        <v>0.8995740691777275</v>
      </c>
      <c r="R58" s="104">
        <f t="shared" si="2"/>
        <v>826.0847449926416</v>
      </c>
      <c r="S58" s="105">
        <f t="shared" si="23"/>
        <v>836.0595046602815</v>
      </c>
      <c r="T58" s="105">
        <f t="shared" si="3"/>
        <v>857.9785635859994</v>
      </c>
      <c r="U58" s="105">
        <f t="shared" si="24"/>
        <v>2785.181596668464</v>
      </c>
      <c r="V58" s="105">
        <f t="shared" si="25"/>
        <v>2789.737177877609</v>
      </c>
      <c r="W58" s="105">
        <f t="shared" si="26"/>
        <v>849.8399426518062</v>
      </c>
      <c r="X58" s="105">
        <f t="shared" si="27"/>
        <v>865.3119706878813</v>
      </c>
      <c r="Y58" s="105">
        <f t="shared" si="28"/>
        <v>854.8141394495531</v>
      </c>
      <c r="Z58" s="107">
        <f t="shared" si="29"/>
        <v>870.2681799768931</v>
      </c>
      <c r="AA58" s="118">
        <f t="shared" si="30"/>
        <v>2.2421374081037317</v>
      </c>
      <c r="AB58" s="119">
        <f t="shared" si="31"/>
        <v>2.2633559662739318</v>
      </c>
      <c r="AC58" s="119">
        <f t="shared" si="32"/>
        <v>2.3100443814042353</v>
      </c>
      <c r="AD58" s="119">
        <f t="shared" si="4"/>
        <v>2.3254462988731266</v>
      </c>
      <c r="AE58" s="120">
        <f t="shared" si="5"/>
        <v>2.335871862205437</v>
      </c>
      <c r="AF58" s="100">
        <f t="shared" si="33"/>
        <v>25.141557394284675</v>
      </c>
      <c r="AG58" s="103">
        <f t="shared" si="34"/>
        <v>1.1272032583488956</v>
      </c>
      <c r="AH58" s="104">
        <f t="shared" si="6"/>
        <v>119.32451172824467</v>
      </c>
      <c r="AI58" s="105">
        <f t="shared" si="35"/>
        <v>250.9668505832988</v>
      </c>
      <c r="AJ58" s="120">
        <f t="shared" si="7"/>
        <v>1.5133329998688017</v>
      </c>
      <c r="AK58" s="104">
        <f t="shared" si="8"/>
        <v>2.109718327746692</v>
      </c>
      <c r="AL58" s="105">
        <f t="shared" si="9"/>
        <v>27.239677036140563</v>
      </c>
      <c r="AM58" s="105">
        <f t="shared" si="36"/>
        <v>0.04651692231841788</v>
      </c>
      <c r="AN58" s="105">
        <f t="shared" si="37"/>
        <v>3.1255182517259166</v>
      </c>
      <c r="AO58" s="107">
        <f t="shared" si="38"/>
        <v>32.521430537931586</v>
      </c>
      <c r="AP58" s="123">
        <f t="shared" si="39"/>
        <v>0.469429243163224</v>
      </c>
    </row>
    <row r="62" ht="12.75">
      <c r="B62" s="2" t="s">
        <v>311</v>
      </c>
    </row>
    <row r="63" ht="12.75">
      <c r="B63" s="2" t="s">
        <v>312</v>
      </c>
    </row>
    <row r="64" ht="12.75">
      <c r="B64" s="2"/>
    </row>
    <row r="65" ht="12.75">
      <c r="B65" s="2" t="s">
        <v>313</v>
      </c>
    </row>
    <row r="69" ht="12.75">
      <c r="B69" s="89" t="s">
        <v>314</v>
      </c>
    </row>
    <row r="81" ht="12.75">
      <c r="B81" s="89" t="s">
        <v>315</v>
      </c>
    </row>
  </sheetData>
  <sheetProtection/>
  <mergeCells count="12">
    <mergeCell ref="AF24:AG24"/>
    <mergeCell ref="AK24:AO24"/>
    <mergeCell ref="B21:K21"/>
    <mergeCell ref="C24:I24"/>
    <mergeCell ref="K24:Q24"/>
    <mergeCell ref="R24:Z24"/>
    <mergeCell ref="B20:K20"/>
    <mergeCell ref="A2:C17"/>
    <mergeCell ref="Q3:R3"/>
    <mergeCell ref="D16:I16"/>
    <mergeCell ref="L16:N16"/>
    <mergeCell ref="AA24:AE24"/>
  </mergeCells>
  <printOptions/>
  <pageMargins left="0.7" right="0.7" top="0.75" bottom="0.75" header="0.3" footer="0.3"/>
  <pageSetup horizontalDpi="600" verticalDpi="600" orientation="portrait" paperSize="9" r:id="rId6"/>
  <ignoredErrors>
    <ignoredError sqref="AB27:AB58" formula="1"/>
  </ignoredErrors>
  <drawing r:id="rId5"/>
  <legacyDrawing r:id="rId4"/>
  <oleObjects>
    <oleObject progId="Word.Picture.8" shapeId="425934" r:id="rId1"/>
    <oleObject progId="Equation.3" shapeId="90035" r:id="rId2"/>
    <oleObject progId="Equation.3" shapeId="3679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Tápvíz-előmelegítés előre keveréssel</dc:title>
  <dc:subject>Erőművek</dc:subject>
  <dc:creator>Györke Gábor</dc:creator>
  <cp:keywords>Erőművek gyakorlat</cp:keywords>
  <dc:description/>
  <cp:lastModifiedBy>Szücs Botond</cp:lastModifiedBy>
  <cp:lastPrinted>2014-08-14T06:51:31Z</cp:lastPrinted>
  <dcterms:created xsi:type="dcterms:W3CDTF">1996-10-14T23:33:28Z</dcterms:created>
  <dcterms:modified xsi:type="dcterms:W3CDTF">2019-11-15T11:16:48Z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