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9435" windowHeight="4080" tabRatio="598" firstSheet="2" activeTab="2"/>
  </bookViews>
  <sheets>
    <sheet name="Properties" sheetId="1" state="hidden" r:id="rId1"/>
    <sheet name="Functions" sheetId="2" state="hidden" r:id="rId2"/>
    <sheet name="elorekeveres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<sst xmlns="http://schemas.openxmlformats.org/spreadsheetml/2006/main" count="626" uniqueCount="311">
  <si>
    <t>v2.6</t>
  </si>
  <si>
    <t>* Error in valid region for function tc_ptrho</t>
  </si>
  <si>
    <t>Prandtl</t>
  </si>
  <si>
    <t>Pressure as a function of h and rho (density). Very unaccurate for solid water region since it's almost incompressible!</t>
  </si>
  <si>
    <t>News in V2.2</t>
  </si>
  <si>
    <t>* Function p_hrho added. (Very good for calcualting pressure when heating a volume with water/steam mixture.)</t>
  </si>
  <si>
    <t>* Fixed error in Cp_ph</t>
  </si>
  <si>
    <t>Dynamic Viscosity</t>
  </si>
  <si>
    <t>Calcualted as Cp*my/tc</t>
  </si>
  <si>
    <t>* Prandtl number added</t>
  </si>
  <si>
    <t>* Extensive testing</t>
  </si>
  <si>
    <t>-</t>
  </si>
  <si>
    <t>Version history</t>
  </si>
  <si>
    <t>* Fixed error in T_hs return no value for vet region bellow the water saturation line.</t>
  </si>
  <si>
    <t>News in V2.3</t>
  </si>
  <si>
    <t>* my_ph not defined in region 4.</t>
  </si>
  <si>
    <t>* Problems at region border for h4V_p to adress solver problems at the exact border.</t>
  </si>
  <si>
    <t>* Option Explicit, gives more efficient calculations.</t>
  </si>
  <si>
    <t>* Problem at fast border check in region_ph fixed.</t>
  </si>
  <si>
    <t>News in V2.4</t>
  </si>
  <si>
    <t>* Matlab error giving varaible undefined in some backwards solutions fixed.</t>
  </si>
  <si>
    <t xml:space="preserve"> p_hrho</t>
  </si>
  <si>
    <t xml:space="preserve"> p_hs</t>
  </si>
  <si>
    <t xml:space="preserve"> psat_T</t>
  </si>
  <si>
    <t xml:space="preserve"> T_hs</t>
  </si>
  <si>
    <t xml:space="preserve"> T_ph</t>
  </si>
  <si>
    <t xml:space="preserve"> Tsat_p</t>
  </si>
  <si>
    <t xml:space="preserve"> T_ps</t>
  </si>
  <si>
    <t xml:space="preserve"> hV_p</t>
  </si>
  <si>
    <t xml:space="preserve"> hL_p</t>
  </si>
  <si>
    <t xml:space="preserve"> hV_T</t>
  </si>
  <si>
    <t xml:space="preserve"> hL_T</t>
  </si>
  <si>
    <t xml:space="preserve"> h_pT</t>
  </si>
  <si>
    <t xml:space="preserve"> h_ps</t>
  </si>
  <si>
    <t xml:space="preserve"> h_px</t>
  </si>
  <si>
    <t xml:space="preserve"> h_Tx</t>
  </si>
  <si>
    <t xml:space="preserve"> h_prho</t>
  </si>
  <si>
    <t xml:space="preserve"> vV_p</t>
  </si>
  <si>
    <t xml:space="preserve"> vL_p</t>
  </si>
  <si>
    <t xml:space="preserve"> vV_T</t>
  </si>
  <si>
    <t xml:space="preserve"> vL_T</t>
  </si>
  <si>
    <t xml:space="preserve"> v_pT</t>
  </si>
  <si>
    <t xml:space="preserve"> v_ph</t>
  </si>
  <si>
    <t xml:space="preserve"> v_ps</t>
  </si>
  <si>
    <t xml:space="preserve"> rhoV_p</t>
  </si>
  <si>
    <t xml:space="preserve"> rhoL_p</t>
  </si>
  <si>
    <t xml:space="preserve"> rhoV_T</t>
  </si>
  <si>
    <t xml:space="preserve"> rhoL_T</t>
  </si>
  <si>
    <t xml:space="preserve"> rho_pT</t>
  </si>
  <si>
    <t xml:space="preserve"> rho_ph</t>
  </si>
  <si>
    <t xml:space="preserve"> rho_ps</t>
  </si>
  <si>
    <t xml:space="preserve"> sV_p</t>
  </si>
  <si>
    <t xml:space="preserve"> sL_p</t>
  </si>
  <si>
    <t xml:space="preserve"> sV_T</t>
  </si>
  <si>
    <t xml:space="preserve"> sL_T</t>
  </si>
  <si>
    <t xml:space="preserve"> s_pT</t>
  </si>
  <si>
    <t xml:space="preserve"> s_ph</t>
  </si>
  <si>
    <t xml:space="preserve"> uV_p</t>
  </si>
  <si>
    <t xml:space="preserve"> uL_p</t>
  </si>
  <si>
    <t xml:space="preserve"> uV_T</t>
  </si>
  <si>
    <t xml:space="preserve"> uL_T</t>
  </si>
  <si>
    <t xml:space="preserve"> u_pT</t>
  </si>
  <si>
    <t xml:space="preserve"> u_ph</t>
  </si>
  <si>
    <t xml:space="preserve"> u_ps</t>
  </si>
  <si>
    <t xml:space="preserve"> CpV_p</t>
  </si>
  <si>
    <t xml:space="preserve"> CpL_p</t>
  </si>
  <si>
    <t xml:space="preserve"> CpV_T</t>
  </si>
  <si>
    <t xml:space="preserve"> CpL_T</t>
  </si>
  <si>
    <t xml:space="preserve"> Cp_pT</t>
  </si>
  <si>
    <t xml:space="preserve"> Cp_ph</t>
  </si>
  <si>
    <t xml:space="preserve"> Cp_ps</t>
  </si>
  <si>
    <t xml:space="preserve"> CvV_p</t>
  </si>
  <si>
    <t xml:space="preserve"> CvL_p</t>
  </si>
  <si>
    <t xml:space="preserve"> CvV_T</t>
  </si>
  <si>
    <t xml:space="preserve"> CvL_T</t>
  </si>
  <si>
    <t xml:space="preserve"> Cv_pT</t>
  </si>
  <si>
    <t xml:space="preserve"> Cv_ph</t>
  </si>
  <si>
    <t xml:space="preserve"> Cv_ps</t>
  </si>
  <si>
    <t xml:space="preserve"> wV_p</t>
  </si>
  <si>
    <t xml:space="preserve"> wL_p</t>
  </si>
  <si>
    <t xml:space="preserve"> wV_T</t>
  </si>
  <si>
    <t xml:space="preserve"> wL_T</t>
  </si>
  <si>
    <t xml:space="preserve"> w_pT</t>
  </si>
  <si>
    <t xml:space="preserve"> w_ph</t>
  </si>
  <si>
    <t xml:space="preserve"> w_ps</t>
  </si>
  <si>
    <t xml:space="preserve"> my_pT</t>
  </si>
  <si>
    <t xml:space="preserve"> my_ph</t>
  </si>
  <si>
    <t xml:space="preserve"> my_ps</t>
  </si>
  <si>
    <t xml:space="preserve"> pr_pT</t>
  </si>
  <si>
    <t xml:space="preserve"> pr_ph</t>
  </si>
  <si>
    <t xml:space="preserve"> tcL_p</t>
  </si>
  <si>
    <t xml:space="preserve"> tcV_p</t>
  </si>
  <si>
    <t xml:space="preserve"> tcL_T</t>
  </si>
  <si>
    <t xml:space="preserve"> tcV_T</t>
  </si>
  <si>
    <t xml:space="preserve"> tc_pT</t>
  </si>
  <si>
    <t xml:space="preserve"> tc_ph</t>
  </si>
  <si>
    <t xml:space="preserve"> tc_hs</t>
  </si>
  <si>
    <t xml:space="preserve"> st_T</t>
  </si>
  <si>
    <t xml:space="preserve"> st_p</t>
  </si>
  <si>
    <t xml:space="preserve"> x_ph</t>
  </si>
  <si>
    <t xml:space="preserve"> x_ps</t>
  </si>
  <si>
    <t xml:space="preserve"> vx_ph</t>
  </si>
  <si>
    <t xml:space="preserve"> vx_ps</t>
  </si>
  <si>
    <t>* OpenOffice version introduced. (Fixed calculation differences in open office and excel)</t>
  </si>
  <si>
    <t>* Many missing ; in matlab causing printouts detected.</t>
  </si>
  <si>
    <t>* Functions by p,rho inplemented in matlab also.</t>
  </si>
  <si>
    <t>News in V2.4a</t>
  </si>
  <si>
    <t>* ToSIUnit for h_ps region 4. (No effect in SI unit version).</t>
  </si>
  <si>
    <t>* Fixed small error in Cv Region 5 p&gt;1000bar</t>
  </si>
  <si>
    <t>News in V2.5</t>
  </si>
  <si>
    <t>* Freebasic translation</t>
  </si>
  <si>
    <t>* DLL distrubution for use in other applications</t>
  </si>
  <si>
    <t>* Error in function h3_pt for temperatures near the saturation point.</t>
  </si>
  <si>
    <t>News in V2.6</t>
  </si>
  <si>
    <t>Speed of sound as a function of pressure and entropy.</t>
  </si>
  <si>
    <t>Viscosity as a function of pressure and temperature.</t>
  </si>
  <si>
    <t>Viscosity as a function of pressure and enthalpy</t>
  </si>
  <si>
    <t>Viscosity as a function of pressure and entropy.</t>
  </si>
  <si>
    <t>Vapour fraction as a function of pressure and enthalpy</t>
  </si>
  <si>
    <t>Vapour fraction as a function of pressure and entropy.</t>
  </si>
  <si>
    <t>Vapour volume fraction as a function of pressure and enthalpy</t>
  </si>
  <si>
    <t>Vapour volume fraction as a function of pressure and entropy.</t>
  </si>
  <si>
    <t>* Calling functions of h and s added.</t>
  </si>
  <si>
    <t>* Calling functions h_px and h_tx added.</t>
  </si>
  <si>
    <t>* Cp, Cv and w undefined in the mixed region. (Before interpolation with the vapor fraction was used.)</t>
  </si>
  <si>
    <t>* A work sheet "Properties" for simple lookups added.</t>
  </si>
  <si>
    <t>Vapour Volume Fraction</t>
  </si>
  <si>
    <t>Viscosity is not part of IAPWS Steam IF97. Equations from "Revised Release on the IAPWS Formulation 1985 for the Viscosity of Ordinary Water Substance", 2003 are used.</t>
  </si>
  <si>
    <t>Specific entropy as a function of pressure and temperature (Returns saturated vapour entalpy if mixture.)</t>
  </si>
  <si>
    <t>Thermal Conductivity</t>
  </si>
  <si>
    <t>Revised release on the IAPS Formulation 1985 for the Thermal Conductivity of ordinary water substance (IAPWS 1998)</t>
  </si>
  <si>
    <t>W/(m K)</t>
  </si>
  <si>
    <t>Saturated vapour thermal conductivity</t>
  </si>
  <si>
    <t>Saturated liquid thermal conductivity</t>
  </si>
  <si>
    <t>Thermal conductivity as a function of pressure and temperature.</t>
  </si>
  <si>
    <t>Thermal conductivity as a function of pressure and enthalpy</t>
  </si>
  <si>
    <t>Thermal conductivity as a function of enthalpy and entropy</t>
  </si>
  <si>
    <t>Surface Tension</t>
  </si>
  <si>
    <t>IAPWS Release on Surface Tension of Ordinary Water Substance, September 1994</t>
  </si>
  <si>
    <t>N/m</t>
  </si>
  <si>
    <t>* Thermal conductivity, Surface tension added</t>
  </si>
  <si>
    <t>Surface tension for two phase water/steam as a function of T</t>
  </si>
  <si>
    <t>The excel scripts are stored inside this workbook. (No extra files are needed. Start from a copy of this workbook. This page can be removed)</t>
  </si>
  <si>
    <t>For error-reporting, feedback, other units etc. contact:</t>
  </si>
  <si>
    <t>Entalpy as a function of pressure and density. Observe for low temperatures (liquid) this equation has 2 solutions. (Not valid!!)</t>
  </si>
  <si>
    <t xml:space="preserve">Excel macros, IF-97 Steam tables. </t>
  </si>
  <si>
    <t>The excel scripts are stored inside this workbook. A complete list of functions for use is available on the "Calling functions" worksheet</t>
  </si>
  <si>
    <t>By: Magnus Holmgren</t>
  </si>
  <si>
    <t>www.x-eng.com</t>
  </si>
  <si>
    <t>Saturation properties given temperature</t>
  </si>
  <si>
    <t>Saturation properties given pressure</t>
  </si>
  <si>
    <t>bar a</t>
  </si>
  <si>
    <t>Liquid</t>
  </si>
  <si>
    <t>Entropy</t>
  </si>
  <si>
    <t>Vapour</t>
  </si>
  <si>
    <t>Vapour enthalpy</t>
  </si>
  <si>
    <t>Vapour density</t>
  </si>
  <si>
    <t>Vapour Entropy</t>
  </si>
  <si>
    <t>vapour Entropy</t>
  </si>
  <si>
    <t>Evaporation energy</t>
  </si>
  <si>
    <t>Properties given pressure and temperature</t>
  </si>
  <si>
    <t>Properties given pressure and enthalpy</t>
  </si>
  <si>
    <t>IF97 Region</t>
  </si>
  <si>
    <t>Phase</t>
  </si>
  <si>
    <t xml:space="preserve">Isobaric heat capacity </t>
  </si>
  <si>
    <t>Speed of sound</t>
  </si>
  <si>
    <t>* Calling function h_prho</t>
  </si>
  <si>
    <t>* Fixed problem with Cv reporting NaN in region 5.</t>
  </si>
  <si>
    <t>* Equivivalent to the Matlab version. (Downloadable from www.x-eng.com)</t>
  </si>
  <si>
    <t>News in V2</t>
  </si>
  <si>
    <t>News in V2.1</t>
  </si>
  <si>
    <t>kJ/kg</t>
  </si>
  <si>
    <t>m3/kg</t>
  </si>
  <si>
    <t>kJ/(kg K)</t>
  </si>
  <si>
    <t>m/s</t>
  </si>
  <si>
    <t>Enthalpy</t>
  </si>
  <si>
    <t>Temperature</t>
  </si>
  <si>
    <t>kg/m3</t>
  </si>
  <si>
    <t>bar</t>
  </si>
  <si>
    <t>°C</t>
  </si>
  <si>
    <t xml:space="preserve">Specific entropy </t>
  </si>
  <si>
    <t>Density</t>
  </si>
  <si>
    <t xml:space="preserve">Specific internal energy </t>
  </si>
  <si>
    <t xml:space="preserve">Specific isobaric heat capacity </t>
  </si>
  <si>
    <t xml:space="preserve">Speed of sound </t>
  </si>
  <si>
    <t xml:space="preserve">Specific isochoric heat capacity </t>
  </si>
  <si>
    <t>Pressure</t>
  </si>
  <si>
    <t>Saturation temperature</t>
  </si>
  <si>
    <t>Saturation pressure</t>
  </si>
  <si>
    <t>Specific volume</t>
  </si>
  <si>
    <t>Saturated vapour enthalpy</t>
  </si>
  <si>
    <t>Saturated vapour volume</t>
  </si>
  <si>
    <t>Saturated vapour density</t>
  </si>
  <si>
    <t>Saturated vapour entropy</t>
  </si>
  <si>
    <t>Saturated vapour internal energy</t>
  </si>
  <si>
    <t>Saturated liquid enthalpy</t>
  </si>
  <si>
    <t>Saturated liquid volume</t>
  </si>
  <si>
    <t>Saturated liquid density</t>
  </si>
  <si>
    <t>Saturated liquid entropy</t>
  </si>
  <si>
    <t>Saturated liquid internal energy</t>
  </si>
  <si>
    <t xml:space="preserve">Saturated liquid heat capacity </t>
  </si>
  <si>
    <t xml:space="preserve">Saturated vapour heat capacity </t>
  </si>
  <si>
    <t>Saturated liquid isochoric heat capacity</t>
  </si>
  <si>
    <t>Saturated vapour isochoric heat capacity</t>
  </si>
  <si>
    <t>Saturated liquid speed of sound</t>
  </si>
  <si>
    <t>Saturated vapour speed of sound</t>
  </si>
  <si>
    <t>Vapour fraction</t>
  </si>
  <si>
    <t>Pa s</t>
  </si>
  <si>
    <t>%</t>
  </si>
  <si>
    <t>gets close to the accurancy of steam IF-97</t>
  </si>
  <si>
    <t>Viscosity in the mixed region (4) is interpolated according to the density. This is not true since it will be two fases.</t>
  </si>
  <si>
    <t>OBS: This workbook uses macros. Set security options in Tools:Macro:Security… to enable macros.</t>
  </si>
  <si>
    <t>Temperture as a function of pressure and enthalpy</t>
  </si>
  <si>
    <t>Temperture as a function of pressure and entropy</t>
  </si>
  <si>
    <t>Entalpy as a function of pressure and temperature.</t>
  </si>
  <si>
    <t>Entalpy as a function of pressure and entropy.</t>
  </si>
  <si>
    <t>Observe that vapour volume fraction is very sensitive. Vapour volume is about 1000 times greater than liquid volume and therfore vapour volume fraction</t>
  </si>
  <si>
    <t>The steam tables are free and provided as is. We take no responsibilities for any errors in the code or damage thereby.</t>
  </si>
  <si>
    <t>kJ/kgK</t>
  </si>
  <si>
    <t>X Steam Tables</t>
  </si>
  <si>
    <t>http://www.x-eng.com</t>
  </si>
  <si>
    <t xml:space="preserve">Steam tables by Magnus Holmgren according to IAPWS IF-97 </t>
  </si>
  <si>
    <t xml:space="preserve">Pressure as a function of h and s. </t>
  </si>
  <si>
    <t>magnus@x-eng.com</t>
  </si>
  <si>
    <t>kJ/(kg°C)</t>
  </si>
  <si>
    <t>Entalpy as a function of pressure and vapour fraction</t>
  </si>
  <si>
    <t>Entalpy as a function of temperature and vapour fraction</t>
  </si>
  <si>
    <t>Temperture as a function of enthalpy and entropy</t>
  </si>
  <si>
    <t>Specific volume as a function of pressure and temperature.</t>
  </si>
  <si>
    <t>Specific volume as a function of pressure and enthalpy</t>
  </si>
  <si>
    <t>Specific volume as a function of pressure and entropy.</t>
  </si>
  <si>
    <t>Density as a function of pressure and temperature.</t>
  </si>
  <si>
    <t>Density as a function of pressure and enthalpy</t>
  </si>
  <si>
    <t>Density as a function of pressure and entropy.</t>
  </si>
  <si>
    <t>Specific entropy as a function of pressure and enthalpy</t>
  </si>
  <si>
    <t>Specific internal energy as a function of pressure and temperature.</t>
  </si>
  <si>
    <t>Specific internal energy as a function of pressure and enthalpy</t>
  </si>
  <si>
    <t>Specific internal energy as a function of pressure and entropy.</t>
  </si>
  <si>
    <t>Specific isobaric heat capacity as a function of pressure and temperature.</t>
  </si>
  <si>
    <t>Specific isobaric heat capacity as a function of pressure and enthalpy</t>
  </si>
  <si>
    <t>Specific isobaric heat capacity as a function of pressure and entropy.</t>
  </si>
  <si>
    <t>Specific isochoric heat capacity as a function of pressure and temperature.</t>
  </si>
  <si>
    <t>Specific isochoric heat capacity as a function of pressure and enthalpy</t>
  </si>
  <si>
    <t>Specific isochoric heat capacity as a function of pressure and entropy.</t>
  </si>
  <si>
    <t>Speed of sound as a function of pressure and temperature.</t>
  </si>
  <si>
    <t>Speed of sound as a function of pressure and enthalpy</t>
  </si>
  <si>
    <t>Jellemzők</t>
  </si>
  <si>
    <t>p, bar</t>
  </si>
  <si>
    <t>t, °C</t>
  </si>
  <si>
    <t>h, kJ/kg</t>
  </si>
  <si>
    <t>s, kJ/(kgK)</t>
  </si>
  <si>
    <t>m, kg/s</t>
  </si>
  <si>
    <t>-----</t>
  </si>
  <si>
    <t>Elvi optimumok:</t>
  </si>
  <si>
    <t>mértani</t>
  </si>
  <si>
    <t>számtani</t>
  </si>
  <si>
    <t>Feladat:</t>
  </si>
  <si>
    <t>Keressük meg az optimális fokozatbeszotást!</t>
  </si>
  <si>
    <t>t3</t>
  </si>
  <si>
    <t>t8</t>
  </si>
  <si>
    <t>p8</t>
  </si>
  <si>
    <t>Tsat_max</t>
  </si>
  <si>
    <t>t8_valós</t>
  </si>
  <si>
    <t>t9</t>
  </si>
  <si>
    <t>p9</t>
  </si>
  <si>
    <t>t9_valós</t>
  </si>
  <si>
    <t>h9</t>
  </si>
  <si>
    <t>h12</t>
  </si>
  <si>
    <t>h13</t>
  </si>
  <si>
    <t>h8</t>
  </si>
  <si>
    <t>h10</t>
  </si>
  <si>
    <t>h11</t>
  </si>
  <si>
    <t>h3</t>
  </si>
  <si>
    <t>s3</t>
  </si>
  <si>
    <t>m8</t>
  </si>
  <si>
    <t>m9</t>
  </si>
  <si>
    <t>P_turbina</t>
  </si>
  <si>
    <t>Q_be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</si>
  <si>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Sirr_A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</si>
  <si>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Sirr_B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</si>
  <si>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Sirr_szum</t>
    </r>
  </si>
  <si>
    <t>Hatásfok</t>
  </si>
  <si>
    <t>kJ/kg/K</t>
  </si>
  <si>
    <t>kg/s</t>
  </si>
  <si>
    <t>MW</t>
  </si>
  <si>
    <t>kW/K</t>
  </si>
  <si>
    <t>t3b</t>
  </si>
  <si>
    <t>cp</t>
  </si>
  <si>
    <t>t4</t>
  </si>
  <si>
    <t>h4</t>
  </si>
  <si>
    <t>h3b</t>
  </si>
  <si>
    <t>ΔT_TH</t>
  </si>
  <si>
    <t>Φ</t>
  </si>
  <si>
    <t>s3b</t>
  </si>
  <si>
    <t>s10 = s11</t>
  </si>
  <si>
    <t>s4</t>
  </si>
  <si>
    <t>s12 = s13</t>
  </si>
  <si>
    <t>P_sziv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</si>
  <si>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Sirr_5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</si>
  <si>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Sirr_3b</t>
    </r>
  </si>
  <si>
    <t>A, m2</t>
  </si>
  <si>
    <t>U, kW/m2/K</t>
  </si>
  <si>
    <t>"B" jelű előmelegítő</t>
  </si>
  <si>
    <t>"A" jelű előmelegítő</t>
  </si>
  <si>
    <t>Fajlagos entalpia</t>
  </si>
  <si>
    <t>Fajlagos entrópia</t>
  </si>
  <si>
    <t>Tömegáram</t>
  </si>
  <si>
    <t>Irreverzibilitás</t>
  </si>
  <si>
    <t>Feladat: Egy túlhevített gőzös, kondenzációs vízgőz-körfolyamatú erőmű kapcsolási vázlatát a mellékelt ábra, a körfolyamat egyes pontjaiban a munkaközeg paramétereit az alábbi táblázat mutatja. A turbinában végbemenő expanzió adiabatikus és reverzibilis. A körfolyamatban kétfokozatú tápvízelőmelegítést alkalmazunk felületi hőcserélők segítségével. A kapcsolási vázlaton feltüntetett szivattyúk reverzibilisek. Mennyiségi veszteségek nincsenek.</t>
  </si>
  <si>
    <t>Változtassuk a t3b hőmérsékletet, határozzuk meg a körfolyamat termikus hatásfokát és ábrázoljuk azt a t3b hőmérséklet függvényében!</t>
  </si>
  <si>
    <t>Határozzuk meg az ehhez a kapcsoláshoz tartozó fokozatbeosztási típus szerint legkedvezőbb közbenső hőmérsékletet és haszonlítsuk össze a
numerikusan meghatározott értékkel!
Határozzuk meg az egyes hőcserélőkben az irreverzibilitás miatt bekövetkező entrópiaáram-növekedést! Ábrázoljuk ezek összegét t3b függvényében!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</si>
</sst>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0.0000E+00"/>
    <numFmt numFmtId="185" formatCode="0.0"/>
    <numFmt numFmtId="186" formatCode="0.00000E+00"/>
    <numFmt numFmtId="187" formatCode="0.000000E+00"/>
    <numFmt numFmtId="188" formatCode="[$€-2]\ #,##0.00_);[Red]\([$€-2]\ #,##0.00\)"/>
    <numFmt numFmtId="189" formatCode="0.000"/>
    <numFmt numFmtId="190" formatCode="0.0000000"/>
    <numFmt numFmtId="191" formatCode="0.00000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0.0000000E+00"/>
    <numFmt numFmtId="196" formatCode="[$-40E]yyyy\.\ mmmm\ d\."/>
    <numFmt numFmtId="197" formatCode="0.0%"/>
    <numFmt numFmtId="198" formatCode="0.000%"/>
    <numFmt numFmtId="199" formatCode="0.0000%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b/>
      <u val="single"/>
      <sz val="8"/>
      <color indexed="12"/>
      <name val="Arial"/>
      <family val="2"/>
    </font>
    <font>
      <b/>
      <i/>
      <sz val="12"/>
      <name val="Arial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3" fontId="1" fillId="0" borderId="0" xfId="0" applyNumberFormat="1" applyFont="1" applyAlignment="1">
      <alignment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9" fillId="0" borderId="0" xfId="43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0" xfId="0" applyFont="1" applyAlignment="1">
      <alignment/>
    </xf>
    <xf numFmtId="0" fontId="9" fillId="0" borderId="0" xfId="43" applyFont="1" applyAlignment="1" applyProtection="1">
      <alignment/>
      <protection/>
    </xf>
    <xf numFmtId="0" fontId="2" fillId="0" borderId="0" xfId="43" applyAlignment="1" applyProtection="1">
      <alignment/>
      <protection/>
    </xf>
    <xf numFmtId="0" fontId="1" fillId="0" borderId="0" xfId="0" applyFont="1" applyFill="1" applyBorder="1" applyAlignment="1">
      <alignment/>
    </xf>
    <xf numFmtId="18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185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15" xfId="0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89" fontId="1" fillId="34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2" fontId="5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/>
    </xf>
    <xf numFmtId="185" fontId="57" fillId="0" borderId="0" xfId="0" applyNumberFormat="1" applyFont="1" applyBorder="1" applyAlignment="1">
      <alignment vertical="top" wrapText="1"/>
    </xf>
    <xf numFmtId="2" fontId="57" fillId="0" borderId="0" xfId="0" applyNumberFormat="1" applyFont="1" applyBorder="1" applyAlignment="1">
      <alignment vertical="top" wrapText="1"/>
    </xf>
    <xf numFmtId="2" fontId="57" fillId="0" borderId="0" xfId="0" applyNumberFormat="1" applyFont="1" applyBorder="1" applyAlignment="1">
      <alignment/>
    </xf>
    <xf numFmtId="2" fontId="57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57" fillId="0" borderId="0" xfId="0" applyFont="1" applyAlignment="1">
      <alignment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 horizontal="left" vertical="center"/>
    </xf>
    <xf numFmtId="2" fontId="60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0" fillId="35" borderId="0" xfId="0" applyFont="1" applyFill="1" applyAlignment="1">
      <alignment/>
    </xf>
    <xf numFmtId="10" fontId="57" fillId="0" borderId="0" xfId="62" applyNumberFormat="1" applyFont="1" applyAlignment="1">
      <alignment/>
    </xf>
    <xf numFmtId="0" fontId="1" fillId="35" borderId="0" xfId="0" applyFont="1" applyFill="1" applyAlignment="1">
      <alignment horizontal="center" vertical="center"/>
    </xf>
    <xf numFmtId="2" fontId="61" fillId="0" borderId="0" xfId="0" applyNumberFormat="1" applyFont="1" applyBorder="1" applyAlignment="1">
      <alignment horizontal="center" vertical="center" wrapText="1"/>
    </xf>
    <xf numFmtId="183" fontId="6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 wrapText="1"/>
    </xf>
    <xf numFmtId="2" fontId="61" fillId="0" borderId="16" xfId="0" applyNumberFormat="1" applyFont="1" applyBorder="1" applyAlignment="1">
      <alignment horizontal="center" vertical="center" wrapText="1"/>
    </xf>
    <xf numFmtId="183" fontId="61" fillId="0" borderId="16" xfId="0" applyNumberFormat="1" applyFont="1" applyBorder="1" applyAlignment="1">
      <alignment horizontal="center" vertical="center" wrapText="1"/>
    </xf>
    <xf numFmtId="0" fontId="59" fillId="0" borderId="16" xfId="0" applyFont="1" applyBorder="1" applyAlignment="1" quotePrefix="1">
      <alignment horizontal="center" vertical="center" wrapText="1"/>
    </xf>
    <xf numFmtId="2" fontId="57" fillId="0" borderId="0" xfId="0" applyNumberFormat="1" applyFont="1" applyAlignment="1">
      <alignment vertical="center" wrapText="1"/>
    </xf>
    <xf numFmtId="0" fontId="59" fillId="0" borderId="0" xfId="0" applyFont="1" applyBorder="1" applyAlignment="1" quotePrefix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2" fontId="1" fillId="36" borderId="0" xfId="0" applyNumberFormat="1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1" xfId="0" applyFont="1" applyFill="1" applyBorder="1" applyAlignment="1" quotePrefix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 quotePrefix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2" fontId="62" fillId="0" borderId="12" xfId="0" applyNumberFormat="1" applyFont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" vertical="center"/>
    </xf>
    <xf numFmtId="2" fontId="62" fillId="0" borderId="13" xfId="0" applyNumberFormat="1" applyFont="1" applyBorder="1" applyAlignment="1" quotePrefix="1">
      <alignment horizontal="center" vertical="center"/>
    </xf>
    <xf numFmtId="2" fontId="62" fillId="0" borderId="14" xfId="0" applyNumberFormat="1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 quotePrefix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2" fontId="62" fillId="0" borderId="20" xfId="0" applyNumberFormat="1" applyFont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 quotePrefix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183" fontId="62" fillId="0" borderId="10" xfId="0" applyNumberFormat="1" applyFont="1" applyBorder="1" applyAlignment="1">
      <alignment horizontal="center" vertical="center"/>
    </xf>
    <xf numFmtId="183" fontId="62" fillId="0" borderId="0" xfId="0" applyNumberFormat="1" applyFont="1" applyBorder="1" applyAlignment="1">
      <alignment horizontal="center" vertical="center"/>
    </xf>
    <xf numFmtId="183" fontId="62" fillId="0" borderId="11" xfId="0" applyNumberFormat="1" applyFont="1" applyBorder="1" applyAlignment="1">
      <alignment horizontal="center" vertical="center"/>
    </xf>
    <xf numFmtId="183" fontId="62" fillId="0" borderId="12" xfId="0" applyNumberFormat="1" applyFont="1" applyBorder="1" applyAlignment="1">
      <alignment horizontal="center" vertical="center"/>
    </xf>
    <xf numFmtId="183" fontId="62" fillId="0" borderId="13" xfId="0" applyNumberFormat="1" applyFont="1" applyBorder="1" applyAlignment="1">
      <alignment horizontal="center" vertical="center"/>
    </xf>
    <xf numFmtId="183" fontId="62" fillId="0" borderId="14" xfId="0" applyNumberFormat="1" applyFont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10" fontId="62" fillId="0" borderId="19" xfId="0" applyNumberFormat="1" applyFont="1" applyBorder="1" applyAlignment="1">
      <alignment horizontal="center" vertical="center"/>
    </xf>
    <xf numFmtId="10" fontId="62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35" borderId="0" xfId="0" applyFont="1" applyFill="1" applyAlignment="1">
      <alignment horizontal="left" vertical="center" wrapText="1"/>
    </xf>
    <xf numFmtId="10" fontId="1" fillId="0" borderId="13" xfId="62" applyNumberFormat="1" applyFont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2" fontId="1" fillId="35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-0.00825"/>
          <c:w val="0.93075"/>
          <c:h val="0.863"/>
        </c:manualLayout>
      </c:layout>
      <c:scatterChart>
        <c:scatterStyle val="smoothMarker"/>
        <c:varyColors val="0"/>
        <c:ser>
          <c:idx val="0"/>
          <c:order val="0"/>
          <c:tx>
            <c:v>Hatásfok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elorekeveres!$B$27:$B$58</c:f>
              <c:numCache/>
            </c:numRef>
          </c:xVal>
          <c:yVal>
            <c:numRef>
              <c:f>elorekeveres!$AP$27:$AP$58</c:f>
              <c:numCache/>
            </c:numRef>
          </c:yVal>
          <c:smooth val="1"/>
        </c:ser>
        <c:axId val="24505618"/>
        <c:axId val="19223971"/>
      </c:scatterChart>
      <c:scatterChart>
        <c:scatterStyle val="smoothMarker"/>
        <c:varyColors val="0"/>
        <c:ser>
          <c:idx val="1"/>
          <c:order val="1"/>
          <c:tx>
            <c:v>Irreverzibilitás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elorekeveres!$B$27:$B$58</c:f>
              <c:numCache/>
            </c:numRef>
          </c:xVal>
          <c:yVal>
            <c:numRef>
              <c:f>elorekeveres!$AO$27:$AO$58</c:f>
              <c:numCache/>
            </c:numRef>
          </c:yVal>
          <c:smooth val="1"/>
        </c:ser>
        <c:axId val="38798012"/>
        <c:axId val="13637789"/>
      </c:scatterChart>
      <c:valAx>
        <c:axId val="2450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t3b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3971"/>
        <c:crosses val="autoZero"/>
        <c:crossBetween val="midCat"/>
        <c:dispUnits/>
      </c:valAx>
      <c:valAx>
        <c:axId val="1922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Hatásfok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5618"/>
        <c:crosses val="autoZero"/>
        <c:crossBetween val="midCat"/>
        <c:dispUnits/>
      </c:valAx>
      <c:valAx>
        <c:axId val="38798012"/>
        <c:scaling>
          <c:orientation val="minMax"/>
        </c:scaling>
        <c:axPos val="b"/>
        <c:delete val="1"/>
        <c:majorTickMark val="out"/>
        <c:minorTickMark val="none"/>
        <c:tickLblPos val="nextTo"/>
        <c:crossAx val="13637789"/>
        <c:crosses val="max"/>
        <c:crossBetween val="midCat"/>
        <c:dispUnits/>
      </c:valAx>
      <c:valAx>
        <c:axId val="1363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Irreverzibilitás [kW/K]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801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75"/>
          <c:y val="0.92875"/>
          <c:w val="0.287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</xdr:row>
      <xdr:rowOff>28575</xdr:rowOff>
    </xdr:from>
    <xdr:to>
      <xdr:col>33</xdr:col>
      <xdr:colOff>342900</xdr:colOff>
      <xdr:row>20</xdr:row>
      <xdr:rowOff>885825</xdr:rowOff>
    </xdr:to>
    <xdr:graphicFrame>
      <xdr:nvGraphicFramePr>
        <xdr:cNvPr id="1" name="Diagram 1"/>
        <xdr:cNvGraphicFramePr/>
      </xdr:nvGraphicFramePr>
      <xdr:xfrm>
        <a:off x="12001500" y="190500"/>
        <a:ext cx="9077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-eng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-eng.com/" TargetMode="External" /><Relationship Id="rId2" Type="http://schemas.openxmlformats.org/officeDocument/2006/relationships/hyperlink" Target="mailto:magnus@x-eng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1.00390625" style="0" customWidth="1"/>
    <col min="5" max="5" width="4.7109375" style="0" customWidth="1"/>
    <col min="6" max="6" width="20.7109375" style="0" customWidth="1"/>
  </cols>
  <sheetData>
    <row r="1" ht="18">
      <c r="B1" s="6" t="s">
        <v>219</v>
      </c>
    </row>
    <row r="2" spans="2:4" s="2" customFormat="1" ht="12.75">
      <c r="B2" s="9" t="s">
        <v>145</v>
      </c>
      <c r="D2" s="9" t="s">
        <v>146</v>
      </c>
    </row>
    <row r="3" spans="2:9" s="2" customFormat="1" ht="12.75">
      <c r="B3" s="9" t="s">
        <v>147</v>
      </c>
      <c r="D3" s="9" t="s">
        <v>217</v>
      </c>
      <c r="H3" s="1"/>
      <c r="I3" s="1"/>
    </row>
    <row r="4" spans="2:10" ht="12.75">
      <c r="B4" s="26" t="s">
        <v>148</v>
      </c>
      <c r="D4" s="9" t="s">
        <v>211</v>
      </c>
      <c r="H4" s="1"/>
      <c r="I4" s="1"/>
      <c r="J4" s="2"/>
    </row>
    <row r="5" spans="2:10" ht="12.75">
      <c r="B5" s="27"/>
      <c r="H5" s="1"/>
      <c r="I5" s="1"/>
      <c r="J5" s="2"/>
    </row>
    <row r="6" spans="2:8" ht="12.75">
      <c r="B6" s="28" t="s">
        <v>149</v>
      </c>
      <c r="C6" s="23"/>
      <c r="D6" s="23"/>
      <c r="E6" s="23"/>
      <c r="F6" s="28" t="s">
        <v>150</v>
      </c>
      <c r="G6" s="23"/>
      <c r="H6" s="23"/>
    </row>
    <row r="7" spans="1:9" ht="12.75">
      <c r="A7" s="7"/>
      <c r="B7" s="35" t="s">
        <v>176</v>
      </c>
      <c r="C7" s="36">
        <v>100</v>
      </c>
      <c r="D7" s="37" t="s">
        <v>179</v>
      </c>
      <c r="E7" s="23"/>
      <c r="F7" s="35" t="s">
        <v>186</v>
      </c>
      <c r="G7" s="39">
        <v>12.57</v>
      </c>
      <c r="H7" s="37" t="s">
        <v>151</v>
      </c>
      <c r="I7" s="7"/>
    </row>
    <row r="8" spans="1:9" ht="12.75">
      <c r="A8" s="7"/>
      <c r="B8" s="3" t="s">
        <v>188</v>
      </c>
      <c r="C8" s="29">
        <f>psat_t(C7)</f>
        <v>1.0141797792131015</v>
      </c>
      <c r="D8" s="5" t="s">
        <v>151</v>
      </c>
      <c r="E8" s="23"/>
      <c r="F8" s="3" t="s">
        <v>187</v>
      </c>
      <c r="G8" s="30">
        <f>Tsat_p(G7)</f>
        <v>190.0720101494847</v>
      </c>
      <c r="H8" s="5" t="s">
        <v>179</v>
      </c>
      <c r="I8" s="7"/>
    </row>
    <row r="9" spans="1:9" ht="12.75">
      <c r="A9" s="7"/>
      <c r="B9" s="4" t="s">
        <v>152</v>
      </c>
      <c r="C9" s="7"/>
      <c r="D9" s="5"/>
      <c r="F9" s="4" t="s">
        <v>152</v>
      </c>
      <c r="G9" s="7"/>
      <c r="H9" s="5"/>
      <c r="I9" s="7"/>
    </row>
    <row r="10" spans="1:9" ht="12.75">
      <c r="A10" s="7"/>
      <c r="B10" s="3" t="s">
        <v>175</v>
      </c>
      <c r="C10" s="31">
        <f>hL_T(C7)</f>
        <v>419.0991549977031</v>
      </c>
      <c r="D10" s="5" t="s">
        <v>171</v>
      </c>
      <c r="E10" s="23"/>
      <c r="F10" s="3" t="s">
        <v>175</v>
      </c>
      <c r="G10" s="31">
        <f>hL_p(G7)</f>
        <v>807.8871391616061</v>
      </c>
      <c r="H10" s="5" t="s">
        <v>171</v>
      </c>
      <c r="I10" s="7"/>
    </row>
    <row r="11" spans="1:9" ht="12.75">
      <c r="A11" s="7"/>
      <c r="B11" s="3" t="s">
        <v>181</v>
      </c>
      <c r="C11" s="30">
        <f>rhoL_T(C7)</f>
        <v>958.3542772858901</v>
      </c>
      <c r="D11" s="5" t="s">
        <v>177</v>
      </c>
      <c r="E11" s="23"/>
      <c r="F11" s="3" t="s">
        <v>181</v>
      </c>
      <c r="G11" s="30">
        <f>rhoL_P(G7)</f>
        <v>876.003690639728</v>
      </c>
      <c r="H11" s="5" t="s">
        <v>177</v>
      </c>
      <c r="I11" s="7"/>
    </row>
    <row r="12" spans="1:9" ht="12.75">
      <c r="A12" s="7"/>
      <c r="B12" s="3" t="s">
        <v>153</v>
      </c>
      <c r="C12" s="30">
        <f>sL_T(C7)</f>
        <v>1.3070143278413395</v>
      </c>
      <c r="D12" s="5" t="s">
        <v>218</v>
      </c>
      <c r="E12" s="23"/>
      <c r="F12" s="3" t="s">
        <v>153</v>
      </c>
      <c r="G12" s="30">
        <f>sL_p(G7)</f>
        <v>2.2364689876704964</v>
      </c>
      <c r="H12" s="5" t="s">
        <v>218</v>
      </c>
      <c r="I12" s="7"/>
    </row>
    <row r="13" spans="1:9" ht="12.75">
      <c r="A13" s="7"/>
      <c r="B13" s="32" t="s">
        <v>154</v>
      </c>
      <c r="C13" s="7"/>
      <c r="D13" s="5"/>
      <c r="F13" s="32" t="s">
        <v>154</v>
      </c>
      <c r="G13" s="7"/>
      <c r="H13" s="5"/>
      <c r="I13" s="7"/>
    </row>
    <row r="14" spans="1:9" ht="12.75">
      <c r="A14" s="7"/>
      <c r="B14" s="3" t="s">
        <v>155</v>
      </c>
      <c r="C14" s="31">
        <f>hV_T(C7)</f>
        <v>2675.5720292208343</v>
      </c>
      <c r="D14" s="5" t="s">
        <v>171</v>
      </c>
      <c r="E14" s="23"/>
      <c r="F14" s="3" t="s">
        <v>155</v>
      </c>
      <c r="G14" s="31">
        <f>hV_p(G7)</f>
        <v>2785.3645430359766</v>
      </c>
      <c r="H14" s="5" t="s">
        <v>171</v>
      </c>
      <c r="I14" s="7"/>
    </row>
    <row r="15" spans="1:9" ht="12.75">
      <c r="A15" s="7"/>
      <c r="B15" s="3" t="s">
        <v>156</v>
      </c>
      <c r="C15" s="30">
        <f>rhoV_T(C7)</f>
        <v>0.598135992525703</v>
      </c>
      <c r="D15" s="5" t="s">
        <v>177</v>
      </c>
      <c r="E15" s="23"/>
      <c r="F15" s="3" t="s">
        <v>156</v>
      </c>
      <c r="G15" s="30">
        <f>rhoV_p(G7)</f>
        <v>6.404508204942752</v>
      </c>
      <c r="H15" s="5" t="s">
        <v>177</v>
      </c>
      <c r="I15" s="7"/>
    </row>
    <row r="16" spans="1:9" ht="12.75">
      <c r="A16" s="7"/>
      <c r="B16" s="3" t="s">
        <v>157</v>
      </c>
      <c r="C16" s="30">
        <f>sV_T(C7)</f>
        <v>7.354077050958405</v>
      </c>
      <c r="D16" s="5" t="s">
        <v>218</v>
      </c>
      <c r="E16" s="23"/>
      <c r="F16" s="3" t="s">
        <v>158</v>
      </c>
      <c r="G16" s="30">
        <f>sV_p(G7)</f>
        <v>6.505449765074675</v>
      </c>
      <c r="H16" s="5" t="s">
        <v>218</v>
      </c>
      <c r="I16" s="7"/>
    </row>
    <row r="17" spans="1:9" ht="12.75">
      <c r="A17" s="7"/>
      <c r="B17" s="19" t="s">
        <v>159</v>
      </c>
      <c r="C17" s="33">
        <f>C14-C10</f>
        <v>2256.4728742231314</v>
      </c>
      <c r="D17" s="21" t="s">
        <v>171</v>
      </c>
      <c r="E17" s="23"/>
      <c r="F17" s="19" t="s">
        <v>159</v>
      </c>
      <c r="G17" s="33">
        <f>G14-G10</f>
        <v>1977.4774038743703</v>
      </c>
      <c r="H17" s="21" t="s">
        <v>171</v>
      </c>
      <c r="I17" s="7"/>
    </row>
    <row r="18" spans="1:9" ht="12.75">
      <c r="A18" s="7"/>
      <c r="I18" s="7"/>
    </row>
    <row r="19" spans="1:9" ht="12.75">
      <c r="A19" s="7"/>
      <c r="B19" s="28" t="s">
        <v>160</v>
      </c>
      <c r="C19" s="23"/>
      <c r="D19" s="23"/>
      <c r="E19" s="23"/>
      <c r="F19" s="28" t="s">
        <v>161</v>
      </c>
      <c r="G19" s="23"/>
      <c r="H19" s="23"/>
      <c r="I19" s="7"/>
    </row>
    <row r="20" spans="1:9" ht="12.75">
      <c r="A20" s="7"/>
      <c r="B20" s="35" t="s">
        <v>186</v>
      </c>
      <c r="C20" s="36">
        <v>1</v>
      </c>
      <c r="D20" s="37" t="s">
        <v>151</v>
      </c>
      <c r="E20" s="23"/>
      <c r="F20" s="35" t="s">
        <v>186</v>
      </c>
      <c r="G20" s="36">
        <v>12.57</v>
      </c>
      <c r="H20" s="37" t="s">
        <v>151</v>
      </c>
      <c r="I20" s="7"/>
    </row>
    <row r="21" spans="1:9" ht="12.75">
      <c r="A21" s="7"/>
      <c r="B21" s="17" t="s">
        <v>176</v>
      </c>
      <c r="C21" s="38">
        <v>20</v>
      </c>
      <c r="D21" s="18" t="s">
        <v>179</v>
      </c>
      <c r="E21" s="7"/>
      <c r="F21" s="17" t="s">
        <v>175</v>
      </c>
      <c r="G21" s="38">
        <v>2788</v>
      </c>
      <c r="H21" s="18" t="s">
        <v>171</v>
      </c>
      <c r="I21" s="7"/>
    </row>
    <row r="22" spans="1:9" ht="12.75">
      <c r="A22" s="7"/>
      <c r="B22" s="3" t="s">
        <v>175</v>
      </c>
      <c r="C22" s="31">
        <f>h_pt(C20,C21)</f>
        <v>84.01181116713623</v>
      </c>
      <c r="D22" s="5" t="s">
        <v>171</v>
      </c>
      <c r="E22" s="7"/>
      <c r="F22" s="3" t="s">
        <v>176</v>
      </c>
      <c r="G22" s="31">
        <f>T_ph(G20,G21)</f>
        <v>190.99878517007232</v>
      </c>
      <c r="H22" s="5" t="s">
        <v>179</v>
      </c>
      <c r="I22" s="7"/>
    </row>
    <row r="23" spans="1:9" ht="12.75">
      <c r="A23" s="7"/>
      <c r="B23" s="3" t="s">
        <v>181</v>
      </c>
      <c r="C23" s="30">
        <f>rho_pT(C20,C21)</f>
        <v>998.2054863776971</v>
      </c>
      <c r="D23" s="5" t="s">
        <v>177</v>
      </c>
      <c r="E23" s="7"/>
      <c r="F23" s="3" t="s">
        <v>181</v>
      </c>
      <c r="G23" s="30">
        <f>rho_ph(G20,G21)</f>
        <v>6.385541555488601</v>
      </c>
      <c r="H23" s="5" t="s">
        <v>177</v>
      </c>
      <c r="I23" s="7"/>
    </row>
    <row r="24" spans="1:9" ht="12.75">
      <c r="A24" s="7"/>
      <c r="B24" s="3" t="s">
        <v>153</v>
      </c>
      <c r="C24" s="30">
        <f>s_pT(C20,C21)</f>
        <v>0.2964829208064101</v>
      </c>
      <c r="D24" s="5" t="s">
        <v>218</v>
      </c>
      <c r="E24" s="7"/>
      <c r="F24" s="3" t="s">
        <v>153</v>
      </c>
      <c r="G24" s="30">
        <f>s_ph(G20,G21)</f>
        <v>6.5111125817764135</v>
      </c>
      <c r="H24" s="5" t="s">
        <v>218</v>
      </c>
      <c r="I24" s="7"/>
    </row>
    <row r="25" spans="1:9" ht="12.75">
      <c r="A25" s="7"/>
      <c r="B25" s="22" t="s">
        <v>206</v>
      </c>
      <c r="C25">
        <f>x_ph(C20,C22)*100</f>
        <v>0</v>
      </c>
      <c r="D25" s="24" t="s">
        <v>208</v>
      </c>
      <c r="F25" s="22" t="s">
        <v>206</v>
      </c>
      <c r="G25">
        <f>x_ph(G20,G21)*100</f>
        <v>100</v>
      </c>
      <c r="H25" s="24" t="s">
        <v>208</v>
      </c>
      <c r="I25" s="7"/>
    </row>
    <row r="26" spans="1:9" ht="12.75">
      <c r="A26" s="7"/>
      <c r="B26" s="3" t="s">
        <v>162</v>
      </c>
      <c r="C26" s="7">
        <f>region_pt(C20/10,C21+273.15)</f>
        <v>1</v>
      </c>
      <c r="D26" s="5"/>
      <c r="E26" s="7"/>
      <c r="F26" s="3" t="s">
        <v>162</v>
      </c>
      <c r="G26" s="7">
        <f>region_ph(G20/10,G21)</f>
        <v>2</v>
      </c>
      <c r="H26" s="5"/>
      <c r="I26" s="7"/>
    </row>
    <row r="27" spans="1:9" ht="12.75">
      <c r="A27" s="7"/>
      <c r="B27" s="3" t="s">
        <v>163</v>
      </c>
      <c r="C27" s="34" t="str">
        <f>IF(C26=2,"Steam",IF(C26=1,"Liquid",IF(C26=4,"Mixture","")))</f>
        <v>Liquid</v>
      </c>
      <c r="D27" s="5"/>
      <c r="E27" s="7"/>
      <c r="F27" s="3" t="s">
        <v>163</v>
      </c>
      <c r="G27" s="34" t="str">
        <f>IF(G26=2,"Steam",IF(G26=1,"Liquid",IF(G26=4,"Mixture","")))</f>
        <v>Steam</v>
      </c>
      <c r="H27" s="5"/>
      <c r="I27" s="7"/>
    </row>
    <row r="28" spans="2:8" ht="12.75">
      <c r="B28" s="3" t="s">
        <v>164</v>
      </c>
      <c r="C28" s="7">
        <f>Cp_pT(C20,C21)</f>
        <v>4.18479822130853</v>
      </c>
      <c r="D28" s="5" t="s">
        <v>171</v>
      </c>
      <c r="F28" s="3" t="s">
        <v>164</v>
      </c>
      <c r="G28" s="7">
        <f>Cp_ph(G20,G21)</f>
        <v>2.819479422450438</v>
      </c>
      <c r="H28" s="5" t="s">
        <v>171</v>
      </c>
    </row>
    <row r="29" spans="2:8" ht="12.75">
      <c r="B29" s="19" t="s">
        <v>165</v>
      </c>
      <c r="C29" s="20">
        <f>w_pT(C20,C21)</f>
        <v>1483.4167663120188</v>
      </c>
      <c r="D29" s="21" t="s">
        <v>174</v>
      </c>
      <c r="F29" s="19" t="s">
        <v>165</v>
      </c>
      <c r="G29" s="20">
        <f>w_ph(G20,G21)</f>
        <v>503.55121714205853</v>
      </c>
      <c r="H29" s="21" t="s">
        <v>174</v>
      </c>
    </row>
  </sheetData>
  <sheetProtection/>
  <hyperlinks>
    <hyperlink ref="B4" r:id="rId1" display="www.x-eng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outlinePr summaryBelow="0"/>
  </sheetPr>
  <dimension ref="A1:M150"/>
  <sheetViews>
    <sheetView zoomScalePageLayoutView="0" workbookViewId="0" topLeftCell="A1">
      <selection activeCell="D1" sqref="D1"/>
    </sheetView>
  </sheetViews>
  <sheetFormatPr defaultColWidth="9.140625" defaultRowHeight="12.75" outlineLevelRow="1"/>
  <cols>
    <col min="1" max="1" width="24.140625" style="0" customWidth="1"/>
    <col min="2" max="2" width="4.7109375" style="0" customWidth="1"/>
    <col min="3" max="3" width="7.7109375" style="0" customWidth="1"/>
    <col min="4" max="4" width="4.7109375" style="0" customWidth="1"/>
    <col min="5" max="5" width="8.28125" style="0" customWidth="1"/>
    <col min="6" max="6" width="10.421875" style="1" bestFit="1" customWidth="1"/>
    <col min="7" max="7" width="9.140625" style="1" customWidth="1"/>
    <col min="8" max="8" width="7.57421875" style="2" customWidth="1"/>
  </cols>
  <sheetData>
    <row r="1" spans="1:7" s="14" customFormat="1" ht="18">
      <c r="A1" s="6" t="s">
        <v>219</v>
      </c>
      <c r="D1" s="2" t="s">
        <v>0</v>
      </c>
      <c r="E1" s="15" t="s">
        <v>220</v>
      </c>
      <c r="F1" s="6"/>
      <c r="G1" s="6"/>
    </row>
    <row r="2" s="11" customFormat="1" ht="11.25">
      <c r="A2" s="11" t="s">
        <v>221</v>
      </c>
    </row>
    <row r="3" s="9" customFormat="1" ht="11.25">
      <c r="A3" s="9" t="s">
        <v>142</v>
      </c>
    </row>
    <row r="4" spans="1:6" s="9" customFormat="1" ht="11.25">
      <c r="A4" s="9" t="s">
        <v>143</v>
      </c>
      <c r="F4" s="16" t="s">
        <v>223</v>
      </c>
    </row>
    <row r="5" s="9" customFormat="1" ht="11.25">
      <c r="A5" s="9" t="s">
        <v>217</v>
      </c>
    </row>
    <row r="6" spans="1:7" ht="12.75">
      <c r="A6" s="11" t="s">
        <v>211</v>
      </c>
      <c r="B6" s="2"/>
      <c r="C6" s="2"/>
      <c r="D6" s="2"/>
      <c r="E6" s="2"/>
      <c r="F6" s="2"/>
      <c r="G6" s="2"/>
    </row>
    <row r="7" spans="1:7" ht="12.75">
      <c r="A7" s="11"/>
      <c r="B7" s="2"/>
      <c r="C7" s="2"/>
      <c r="D7" s="2"/>
      <c r="E7" s="2"/>
      <c r="F7" s="2"/>
      <c r="G7" s="2"/>
    </row>
    <row r="8" spans="1:7" s="13" customFormat="1" ht="15">
      <c r="A8" s="25" t="s">
        <v>176</v>
      </c>
      <c r="F8" s="12"/>
      <c r="G8" s="12"/>
    </row>
    <row r="9" spans="1:8" s="9" customFormat="1" ht="12.75" outlineLevel="1">
      <c r="A9" s="1" t="s">
        <v>26</v>
      </c>
      <c r="B9" s="2">
        <v>1</v>
      </c>
      <c r="C9" s="2" t="s">
        <v>178</v>
      </c>
      <c r="D9" s="2"/>
      <c r="E9" s="2"/>
      <c r="F9" s="1">
        <f>Tsat_p(B9)</f>
        <v>99.60591861133764</v>
      </c>
      <c r="G9" s="1" t="s">
        <v>179</v>
      </c>
      <c r="H9" s="2" t="s">
        <v>187</v>
      </c>
    </row>
    <row r="10" spans="1:8" s="9" customFormat="1" ht="12.75" outlineLevel="1">
      <c r="A10" s="1" t="s">
        <v>25</v>
      </c>
      <c r="B10" s="2">
        <v>1</v>
      </c>
      <c r="C10" s="2" t="s">
        <v>178</v>
      </c>
      <c r="D10" s="2">
        <v>100</v>
      </c>
      <c r="E10" s="2" t="s">
        <v>171</v>
      </c>
      <c r="F10" s="1">
        <f>T_ph(B10,D10)</f>
        <v>23.844819075324835</v>
      </c>
      <c r="G10" s="1" t="s">
        <v>179</v>
      </c>
      <c r="H10" s="2" t="s">
        <v>212</v>
      </c>
    </row>
    <row r="11" spans="1:8" s="9" customFormat="1" ht="12.75" outlineLevel="1">
      <c r="A11" s="1" t="s">
        <v>27</v>
      </c>
      <c r="B11" s="2">
        <v>1</v>
      </c>
      <c r="C11" s="2" t="s">
        <v>178</v>
      </c>
      <c r="D11" s="2">
        <v>1</v>
      </c>
      <c r="E11" s="2" t="s">
        <v>173</v>
      </c>
      <c r="F11" s="1">
        <f>T_ps(B11,D11)</f>
        <v>73.70859421440866</v>
      </c>
      <c r="G11" s="1" t="s">
        <v>179</v>
      </c>
      <c r="H11" s="2" t="s">
        <v>213</v>
      </c>
    </row>
    <row r="12" spans="1:8" s="9" customFormat="1" ht="12.75" outlineLevel="1">
      <c r="A12" s="1" t="s">
        <v>24</v>
      </c>
      <c r="B12" s="2">
        <v>100</v>
      </c>
      <c r="C12" s="2" t="s">
        <v>171</v>
      </c>
      <c r="D12" s="2">
        <v>0.2</v>
      </c>
      <c r="E12" s="2" t="s">
        <v>173</v>
      </c>
      <c r="F12" s="1">
        <f>T_hs(B12,D12)</f>
        <v>13.849335111872563</v>
      </c>
      <c r="G12" s="1" t="s">
        <v>179</v>
      </c>
      <c r="H12" s="2" t="s">
        <v>227</v>
      </c>
    </row>
    <row r="13" spans="1:7" s="13" customFormat="1" ht="15">
      <c r="A13" s="25" t="s">
        <v>186</v>
      </c>
      <c r="F13" s="12"/>
      <c r="G13" s="12"/>
    </row>
    <row r="14" spans="1:8" s="9" customFormat="1" ht="12.75" outlineLevel="1">
      <c r="A14" s="1" t="s">
        <v>23</v>
      </c>
      <c r="B14" s="2">
        <v>100</v>
      </c>
      <c r="C14" s="2" t="s">
        <v>179</v>
      </c>
      <c r="D14" s="2"/>
      <c r="E14" s="2"/>
      <c r="F14" s="1">
        <f>psat_t(B14)</f>
        <v>1.0141797792131015</v>
      </c>
      <c r="G14" s="1" t="s">
        <v>178</v>
      </c>
      <c r="H14" s="2" t="s">
        <v>188</v>
      </c>
    </row>
    <row r="15" spans="1:8" s="9" customFormat="1" ht="12.75" outlineLevel="1">
      <c r="A15" s="1" t="s">
        <v>22</v>
      </c>
      <c r="B15" s="2">
        <v>84</v>
      </c>
      <c r="C15" s="2" t="s">
        <v>171</v>
      </c>
      <c r="D15" s="2">
        <v>0.296</v>
      </c>
      <c r="E15" s="2" t="s">
        <v>173</v>
      </c>
      <c r="F15" s="1">
        <f>p_hs(B15,D15)</f>
        <v>2.295498269280914</v>
      </c>
      <c r="G15" s="1" t="s">
        <v>178</v>
      </c>
      <c r="H15" s="2" t="s">
        <v>222</v>
      </c>
    </row>
    <row r="16" spans="1:8" s="9" customFormat="1" ht="12.75" outlineLevel="1">
      <c r="A16" s="1" t="s">
        <v>21</v>
      </c>
      <c r="B16" s="2">
        <v>2000</v>
      </c>
      <c r="C16" s="2" t="s">
        <v>171</v>
      </c>
      <c r="D16" s="2">
        <v>5</v>
      </c>
      <c r="E16" s="2" t="s">
        <v>177</v>
      </c>
      <c r="F16" s="1">
        <f>p_hrho(B16,D16)</f>
        <v>6.0464690304783115</v>
      </c>
      <c r="G16" s="1" t="s">
        <v>178</v>
      </c>
      <c r="H16" s="2" t="s">
        <v>3</v>
      </c>
    </row>
    <row r="17" spans="1:7" s="13" customFormat="1" ht="15">
      <c r="A17" s="25" t="s">
        <v>175</v>
      </c>
      <c r="F17" s="12"/>
      <c r="G17" s="12"/>
    </row>
    <row r="18" spans="1:8" s="9" customFormat="1" ht="12.75" outlineLevel="1">
      <c r="A18" s="1" t="s">
        <v>28</v>
      </c>
      <c r="B18" s="2">
        <v>1</v>
      </c>
      <c r="C18" s="2" t="s">
        <v>178</v>
      </c>
      <c r="D18" s="2"/>
      <c r="E18" s="2"/>
      <c r="F18" s="1">
        <f>hV_p(B18)</f>
        <v>2674.949640832146</v>
      </c>
      <c r="G18" s="1" t="s">
        <v>171</v>
      </c>
      <c r="H18" s="2" t="s">
        <v>190</v>
      </c>
    </row>
    <row r="19" spans="1:8" s="9" customFormat="1" ht="12.75" outlineLevel="1">
      <c r="A19" s="1" t="s">
        <v>29</v>
      </c>
      <c r="B19" s="2">
        <v>1</v>
      </c>
      <c r="C19" s="2" t="s">
        <v>178</v>
      </c>
      <c r="D19" s="2"/>
      <c r="E19" s="2"/>
      <c r="F19" s="1">
        <f>hL_p(B19)</f>
        <v>417.4364858162317</v>
      </c>
      <c r="G19" s="1" t="s">
        <v>171</v>
      </c>
      <c r="H19" s="2" t="s">
        <v>195</v>
      </c>
    </row>
    <row r="20" spans="1:8" s="9" customFormat="1" ht="12.75" outlineLevel="1">
      <c r="A20" s="1" t="s">
        <v>30</v>
      </c>
      <c r="B20" s="2">
        <v>100</v>
      </c>
      <c r="C20" s="2" t="s">
        <v>179</v>
      </c>
      <c r="D20" s="2"/>
      <c r="E20" s="2"/>
      <c r="F20" s="1">
        <f>hV_T(B20)</f>
        <v>2675.5720292208343</v>
      </c>
      <c r="G20" s="1" t="s">
        <v>171</v>
      </c>
      <c r="H20" s="2" t="s">
        <v>190</v>
      </c>
    </row>
    <row r="21" spans="1:8" s="9" customFormat="1" ht="12.75" outlineLevel="1">
      <c r="A21" s="1" t="s">
        <v>31</v>
      </c>
      <c r="B21" s="2">
        <v>100</v>
      </c>
      <c r="C21" s="2" t="s">
        <v>179</v>
      </c>
      <c r="D21" s="2"/>
      <c r="E21" s="2"/>
      <c r="F21" s="1">
        <f>hL_T(B21)</f>
        <v>419.0991549977031</v>
      </c>
      <c r="G21" s="1" t="s">
        <v>171</v>
      </c>
      <c r="H21" s="2" t="s">
        <v>195</v>
      </c>
    </row>
    <row r="22" spans="1:8" s="9" customFormat="1" ht="12.75" outlineLevel="1">
      <c r="A22" s="1" t="s">
        <v>32</v>
      </c>
      <c r="B22" s="2">
        <v>1</v>
      </c>
      <c r="C22" s="2" t="s">
        <v>178</v>
      </c>
      <c r="D22" s="2">
        <v>20</v>
      </c>
      <c r="E22" s="2" t="s">
        <v>179</v>
      </c>
      <c r="F22" s="1">
        <f>h_pt(B22,D22)</f>
        <v>84.01181116713623</v>
      </c>
      <c r="G22" s="1" t="s">
        <v>171</v>
      </c>
      <c r="H22" s="2" t="s">
        <v>214</v>
      </c>
    </row>
    <row r="23" spans="1:8" s="9" customFormat="1" ht="12.75" outlineLevel="1">
      <c r="A23" s="1" t="s">
        <v>33</v>
      </c>
      <c r="B23" s="2">
        <v>1</v>
      </c>
      <c r="C23" s="2" t="s">
        <v>178</v>
      </c>
      <c r="D23" s="2">
        <v>1</v>
      </c>
      <c r="E23" s="2" t="s">
        <v>173</v>
      </c>
      <c r="F23" s="1">
        <f>h_ps(B23,D23)</f>
        <v>308.61071708294634</v>
      </c>
      <c r="G23" s="1" t="s">
        <v>171</v>
      </c>
      <c r="H23" s="2" t="s">
        <v>215</v>
      </c>
    </row>
    <row r="24" spans="1:8" s="9" customFormat="1" ht="12.75" outlineLevel="1">
      <c r="A24" s="1" t="s">
        <v>34</v>
      </c>
      <c r="B24" s="2">
        <v>1</v>
      </c>
      <c r="C24" s="2" t="s">
        <v>178</v>
      </c>
      <c r="D24" s="2">
        <v>0.5</v>
      </c>
      <c r="E24" s="2"/>
      <c r="F24" s="1">
        <f>h_px(B24,D24)</f>
        <v>1546.1930633241889</v>
      </c>
      <c r="G24" s="1" t="s">
        <v>171</v>
      </c>
      <c r="H24" s="2" t="s">
        <v>225</v>
      </c>
    </row>
    <row r="25" spans="1:8" s="9" customFormat="1" ht="12.75" outlineLevel="1">
      <c r="A25" s="1" t="s">
        <v>35</v>
      </c>
      <c r="B25" s="2">
        <v>100</v>
      </c>
      <c r="C25" s="2" t="s">
        <v>179</v>
      </c>
      <c r="D25" s="2">
        <v>0.5</v>
      </c>
      <c r="E25" s="2"/>
      <c r="F25" s="1">
        <f>h_tx(B25,D25)</f>
        <v>1547.3355921092686</v>
      </c>
      <c r="G25" s="1" t="s">
        <v>171</v>
      </c>
      <c r="H25" s="2" t="s">
        <v>226</v>
      </c>
    </row>
    <row r="26" spans="1:8" s="9" customFormat="1" ht="12.75" outlineLevel="1">
      <c r="A26" s="1" t="s">
        <v>36</v>
      </c>
      <c r="B26" s="2">
        <v>1</v>
      </c>
      <c r="C26" s="2" t="s">
        <v>178</v>
      </c>
      <c r="D26" s="2">
        <v>2</v>
      </c>
      <c r="E26" s="2" t="s">
        <v>177</v>
      </c>
      <c r="F26" s="1">
        <f>h_prho(B26,D26)</f>
        <v>1082.7733907600204</v>
      </c>
      <c r="G26" s="1" t="s">
        <v>171</v>
      </c>
      <c r="H26" s="2" t="s">
        <v>144</v>
      </c>
    </row>
    <row r="27" spans="1:7" s="13" customFormat="1" ht="15">
      <c r="A27" s="25" t="s">
        <v>189</v>
      </c>
      <c r="F27" s="12"/>
      <c r="G27" s="12"/>
    </row>
    <row r="28" spans="1:8" s="9" customFormat="1" ht="12.75" outlineLevel="1">
      <c r="A28" s="1" t="s">
        <v>37</v>
      </c>
      <c r="B28" s="2">
        <v>1</v>
      </c>
      <c r="C28" s="2" t="s">
        <v>178</v>
      </c>
      <c r="D28" s="2"/>
      <c r="E28" s="2"/>
      <c r="F28" s="1">
        <f>vV_p(B28)</f>
        <v>1.6940225229026846</v>
      </c>
      <c r="G28" s="1" t="s">
        <v>172</v>
      </c>
      <c r="H28" s="2" t="s">
        <v>191</v>
      </c>
    </row>
    <row r="29" spans="1:8" s="9" customFormat="1" ht="12.75" outlineLevel="1">
      <c r="A29" s="1" t="s">
        <v>38</v>
      </c>
      <c r="B29" s="2">
        <v>1</v>
      </c>
      <c r="C29" s="2" t="s">
        <v>178</v>
      </c>
      <c r="D29" s="2"/>
      <c r="E29" s="2"/>
      <c r="F29" s="1">
        <f>vL_p(B29)</f>
        <v>0.0010431478391551838</v>
      </c>
      <c r="G29" s="1" t="s">
        <v>172</v>
      </c>
      <c r="H29" s="2" t="s">
        <v>196</v>
      </c>
    </row>
    <row r="30" spans="1:8" s="9" customFormat="1" ht="12.75" outlineLevel="1">
      <c r="A30" s="1" t="s">
        <v>39</v>
      </c>
      <c r="B30" s="2">
        <v>100</v>
      </c>
      <c r="C30" s="2" t="s">
        <v>179</v>
      </c>
      <c r="D30" s="2"/>
      <c r="E30" s="2"/>
      <c r="F30" s="1">
        <f>vV_T(B30)</f>
        <v>1.6718606010940364</v>
      </c>
      <c r="G30" s="1" t="s">
        <v>172</v>
      </c>
      <c r="H30" s="2" t="s">
        <v>191</v>
      </c>
    </row>
    <row r="31" spans="1:8" s="9" customFormat="1" ht="12.75" outlineLevel="1">
      <c r="A31" s="1" t="s">
        <v>40</v>
      </c>
      <c r="B31" s="2">
        <v>100</v>
      </c>
      <c r="C31" s="2" t="s">
        <v>179</v>
      </c>
      <c r="D31" s="2"/>
      <c r="E31" s="2"/>
      <c r="F31" s="1">
        <f>vL_T(B31)</f>
        <v>0.001043455456610527</v>
      </c>
      <c r="G31" s="1" t="s">
        <v>172</v>
      </c>
      <c r="H31" s="2" t="s">
        <v>196</v>
      </c>
    </row>
    <row r="32" spans="1:8" s="9" customFormat="1" ht="12.75" outlineLevel="1">
      <c r="A32" s="1" t="s">
        <v>41</v>
      </c>
      <c r="B32" s="2">
        <v>1</v>
      </c>
      <c r="C32" s="2" t="s">
        <v>178</v>
      </c>
      <c r="D32" s="2">
        <v>100</v>
      </c>
      <c r="E32" s="2" t="s">
        <v>179</v>
      </c>
      <c r="F32" s="1">
        <f>v_pT(B32,D32)</f>
        <v>1.6959594073982218</v>
      </c>
      <c r="G32" s="1" t="s">
        <v>172</v>
      </c>
      <c r="H32" s="2" t="s">
        <v>228</v>
      </c>
    </row>
    <row r="33" spans="1:8" s="9" customFormat="1" ht="12.75" outlineLevel="1">
      <c r="A33" s="1" t="s">
        <v>42</v>
      </c>
      <c r="B33" s="2">
        <v>1</v>
      </c>
      <c r="C33" s="2" t="s">
        <v>178</v>
      </c>
      <c r="D33" s="2">
        <v>1000</v>
      </c>
      <c r="E33" s="2" t="s">
        <v>171</v>
      </c>
      <c r="F33" s="1">
        <f>v_ph(B33,D33)</f>
        <v>0.43792565812986356</v>
      </c>
      <c r="G33" s="1" t="s">
        <v>172</v>
      </c>
      <c r="H33" s="2" t="s">
        <v>229</v>
      </c>
    </row>
    <row r="34" spans="1:8" s="9" customFormat="1" ht="12.75" outlineLevel="1">
      <c r="A34" s="1" t="s">
        <v>43</v>
      </c>
      <c r="B34" s="2">
        <v>1</v>
      </c>
      <c r="C34" s="2" t="s">
        <v>178</v>
      </c>
      <c r="D34" s="2">
        <v>5</v>
      </c>
      <c r="E34" s="2" t="s">
        <v>173</v>
      </c>
      <c r="F34" s="1">
        <f>v_ps(B34,D34)</f>
        <v>1.034635390186288</v>
      </c>
      <c r="G34" s="1" t="s">
        <v>172</v>
      </c>
      <c r="H34" s="2" t="s">
        <v>230</v>
      </c>
    </row>
    <row r="35" spans="1:7" s="13" customFormat="1" ht="15">
      <c r="A35" s="25" t="s">
        <v>181</v>
      </c>
      <c r="F35" s="12"/>
      <c r="G35" s="12"/>
    </row>
    <row r="36" spans="1:8" s="9" customFormat="1" ht="12.75" outlineLevel="1">
      <c r="A36" s="1" t="s">
        <v>44</v>
      </c>
      <c r="B36" s="2">
        <v>1</v>
      </c>
      <c r="C36" s="2" t="s">
        <v>178</v>
      </c>
      <c r="D36" s="2"/>
      <c r="E36" s="2"/>
      <c r="F36" s="1">
        <f>rhoV_p(B36)</f>
        <v>0.5903109235445781</v>
      </c>
      <c r="G36" s="1" t="s">
        <v>177</v>
      </c>
      <c r="H36" s="2" t="s">
        <v>192</v>
      </c>
    </row>
    <row r="37" spans="1:8" s="9" customFormat="1" ht="12.75" outlineLevel="1">
      <c r="A37" s="1" t="s">
        <v>45</v>
      </c>
      <c r="B37" s="2">
        <v>1</v>
      </c>
      <c r="C37" s="2" t="s">
        <v>178</v>
      </c>
      <c r="D37" s="2"/>
      <c r="E37" s="2"/>
      <c r="F37" s="1">
        <f>rhoL_P(B37)</f>
        <v>958.6368896760329</v>
      </c>
      <c r="G37" s="1" t="s">
        <v>177</v>
      </c>
      <c r="H37" s="2" t="s">
        <v>197</v>
      </c>
    </row>
    <row r="38" spans="1:8" s="9" customFormat="1" ht="12.75" outlineLevel="1">
      <c r="A38" s="1" t="s">
        <v>46</v>
      </c>
      <c r="B38" s="2">
        <v>100</v>
      </c>
      <c r="C38" s="2" t="s">
        <v>179</v>
      </c>
      <c r="D38" s="2"/>
      <c r="E38" s="2"/>
      <c r="F38" s="1">
        <f>rhoV_T(B38)</f>
        <v>0.598135992525703</v>
      </c>
      <c r="G38" s="1" t="s">
        <v>177</v>
      </c>
      <c r="H38" s="2" t="s">
        <v>192</v>
      </c>
    </row>
    <row r="39" spans="1:8" s="9" customFormat="1" ht="12.75" outlineLevel="1">
      <c r="A39" s="1" t="s">
        <v>47</v>
      </c>
      <c r="B39" s="2">
        <v>100</v>
      </c>
      <c r="C39" s="2" t="s">
        <v>179</v>
      </c>
      <c r="D39" s="2"/>
      <c r="E39" s="2"/>
      <c r="F39" s="1">
        <f>rhoL_T(B39)</f>
        <v>958.3542772858901</v>
      </c>
      <c r="G39" s="1" t="s">
        <v>177</v>
      </c>
      <c r="H39" s="2" t="s">
        <v>197</v>
      </c>
    </row>
    <row r="40" spans="1:8" s="9" customFormat="1" ht="12.75" outlineLevel="1">
      <c r="A40" s="1" t="s">
        <v>48</v>
      </c>
      <c r="B40" s="2">
        <v>1</v>
      </c>
      <c r="C40" s="2" t="s">
        <v>178</v>
      </c>
      <c r="D40" s="2">
        <v>100</v>
      </c>
      <c r="E40" s="2" t="s">
        <v>179</v>
      </c>
      <c r="F40" s="1">
        <f>rho_pT(B40,D40)</f>
        <v>0.5896367540624714</v>
      </c>
      <c r="G40" s="1" t="s">
        <v>177</v>
      </c>
      <c r="H40" s="2" t="s">
        <v>231</v>
      </c>
    </row>
    <row r="41" spans="1:8" s="9" customFormat="1" ht="12.75" outlineLevel="1">
      <c r="A41" s="1" t="s">
        <v>49</v>
      </c>
      <c r="B41" s="2">
        <v>1</v>
      </c>
      <c r="C41" s="2" t="s">
        <v>178</v>
      </c>
      <c r="D41" s="2">
        <v>1000</v>
      </c>
      <c r="E41" s="2" t="s">
        <v>171</v>
      </c>
      <c r="F41" s="1">
        <f>rho_ph(B41,D41)</f>
        <v>2.283492600708629</v>
      </c>
      <c r="G41" s="1" t="s">
        <v>177</v>
      </c>
      <c r="H41" s="2" t="s">
        <v>232</v>
      </c>
    </row>
    <row r="42" spans="1:8" s="9" customFormat="1" ht="12.75" outlineLevel="1">
      <c r="A42" s="1" t="s">
        <v>50</v>
      </c>
      <c r="B42" s="2">
        <v>1</v>
      </c>
      <c r="C42" s="2" t="s">
        <v>178</v>
      </c>
      <c r="D42" s="2">
        <v>1</v>
      </c>
      <c r="E42" s="2" t="s">
        <v>173</v>
      </c>
      <c r="F42" s="1">
        <f>rho_ps(B42,D42)</f>
        <v>975.6236788482324</v>
      </c>
      <c r="G42" s="1" t="s">
        <v>177</v>
      </c>
      <c r="H42" s="2" t="s">
        <v>233</v>
      </c>
    </row>
    <row r="43" spans="1:7" s="13" customFormat="1" ht="15">
      <c r="A43" s="25" t="s">
        <v>180</v>
      </c>
      <c r="F43" s="12"/>
      <c r="G43" s="12"/>
    </row>
    <row r="44" spans="1:8" s="9" customFormat="1" ht="12.75" outlineLevel="1">
      <c r="A44" s="1" t="s">
        <v>51</v>
      </c>
      <c r="B44" s="2">
        <v>0.006117</v>
      </c>
      <c r="C44" s="2" t="s">
        <v>178</v>
      </c>
      <c r="D44" s="2"/>
      <c r="E44" s="2"/>
      <c r="F44" s="1">
        <f>sV_p(B44)</f>
        <v>9.155465555713246</v>
      </c>
      <c r="G44" s="1" t="s">
        <v>173</v>
      </c>
      <c r="H44" s="2" t="s">
        <v>193</v>
      </c>
    </row>
    <row r="45" spans="1:8" s="9" customFormat="1" ht="12.75" outlineLevel="1">
      <c r="A45" s="1" t="s">
        <v>52</v>
      </c>
      <c r="B45" s="2">
        <v>0.0061171</v>
      </c>
      <c r="C45" s="2" t="s">
        <v>178</v>
      </c>
      <c r="D45" s="2"/>
      <c r="E45" s="2"/>
      <c r="F45" s="1">
        <f>sL_p(B45)</f>
        <v>1.835902511963256E-05</v>
      </c>
      <c r="G45" s="1" t="s">
        <v>173</v>
      </c>
      <c r="H45" s="2" t="s">
        <v>198</v>
      </c>
    </row>
    <row r="46" spans="1:8" s="9" customFormat="1" ht="12.75" outlineLevel="1">
      <c r="A46" s="1" t="s">
        <v>53</v>
      </c>
      <c r="B46" s="2">
        <v>0.0001</v>
      </c>
      <c r="C46" s="2" t="s">
        <v>179</v>
      </c>
      <c r="D46" s="2"/>
      <c r="E46" s="2"/>
      <c r="F46" s="1">
        <f>sV_T(B46)</f>
        <v>9.155756715885586</v>
      </c>
      <c r="G46" s="1" t="s">
        <v>173</v>
      </c>
      <c r="H46" s="2" t="s">
        <v>193</v>
      </c>
    </row>
    <row r="47" spans="1:8" s="9" customFormat="1" ht="12.75" outlineLevel="1">
      <c r="A47" s="1" t="s">
        <v>54</v>
      </c>
      <c r="B47" s="2">
        <v>100</v>
      </c>
      <c r="C47" s="2" t="s">
        <v>179</v>
      </c>
      <c r="D47" s="2"/>
      <c r="E47" s="2"/>
      <c r="F47" s="1">
        <f>sL_T(B47)</f>
        <v>1.3070143278413395</v>
      </c>
      <c r="G47" s="1" t="s">
        <v>173</v>
      </c>
      <c r="H47" s="2" t="s">
        <v>198</v>
      </c>
    </row>
    <row r="48" spans="1:8" s="9" customFormat="1" ht="12.75" outlineLevel="1">
      <c r="A48" s="1" t="s">
        <v>55</v>
      </c>
      <c r="B48" s="2">
        <v>1</v>
      </c>
      <c r="C48" s="2" t="s">
        <v>178</v>
      </c>
      <c r="D48" s="2">
        <v>20</v>
      </c>
      <c r="E48" s="2" t="s">
        <v>179</v>
      </c>
      <c r="F48" s="1">
        <f>s_pT(B48,D48)</f>
        <v>0.2964829208064101</v>
      </c>
      <c r="G48" s="1" t="s">
        <v>173</v>
      </c>
      <c r="H48" s="2" t="s">
        <v>128</v>
      </c>
    </row>
    <row r="49" spans="1:8" s="9" customFormat="1" ht="12.75" outlineLevel="1">
      <c r="A49" s="1" t="s">
        <v>56</v>
      </c>
      <c r="B49" s="2">
        <v>1</v>
      </c>
      <c r="C49" s="2" t="s">
        <v>178</v>
      </c>
      <c r="D49" s="2">
        <f>F22</f>
        <v>84.01181116713623</v>
      </c>
      <c r="E49" s="2" t="s">
        <v>171</v>
      </c>
      <c r="F49" s="1">
        <f>s_ph(B49,D49)</f>
        <v>0.2968138446764294</v>
      </c>
      <c r="G49" s="1" t="s">
        <v>173</v>
      </c>
      <c r="H49" s="2" t="s">
        <v>234</v>
      </c>
    </row>
    <row r="50" spans="1:7" s="13" customFormat="1" ht="15">
      <c r="A50" s="25" t="s">
        <v>182</v>
      </c>
      <c r="F50" s="12"/>
      <c r="G50" s="12"/>
    </row>
    <row r="51" spans="1:8" s="9" customFormat="1" ht="12.75" outlineLevel="1">
      <c r="A51" s="1" t="s">
        <v>57</v>
      </c>
      <c r="B51" s="2">
        <v>1</v>
      </c>
      <c r="C51" s="2" t="s">
        <v>178</v>
      </c>
      <c r="D51" s="2"/>
      <c r="E51" s="2"/>
      <c r="F51" s="1">
        <f>uV_p(B51)</f>
        <v>2505.547388541878</v>
      </c>
      <c r="G51" s="1" t="s">
        <v>171</v>
      </c>
      <c r="H51" s="2" t="s">
        <v>194</v>
      </c>
    </row>
    <row r="52" spans="1:8" s="9" customFormat="1" ht="12.75" outlineLevel="1">
      <c r="A52" s="1" t="s">
        <v>58</v>
      </c>
      <c r="B52" s="2">
        <v>1</v>
      </c>
      <c r="C52" s="2" t="s">
        <v>178</v>
      </c>
      <c r="D52" s="2"/>
      <c r="E52" s="2"/>
      <c r="F52" s="1">
        <f>uL_p(B52)</f>
        <v>417.3321710323162</v>
      </c>
      <c r="G52" s="1" t="s">
        <v>171</v>
      </c>
      <c r="H52" s="2" t="s">
        <v>199</v>
      </c>
    </row>
    <row r="53" spans="1:8" s="9" customFormat="1" ht="12.75" outlineLevel="1">
      <c r="A53" s="1" t="s">
        <v>59</v>
      </c>
      <c r="B53" s="2">
        <v>100</v>
      </c>
      <c r="C53" s="2" t="s">
        <v>179</v>
      </c>
      <c r="D53" s="2"/>
      <c r="E53" s="2"/>
      <c r="F53" s="1">
        <f>uV_T(B53)</f>
        <v>2506.015307691571</v>
      </c>
      <c r="G53" s="1" t="s">
        <v>171</v>
      </c>
      <c r="H53" s="2" t="s">
        <v>194</v>
      </c>
    </row>
    <row r="54" spans="1:8" s="9" customFormat="1" ht="12.75" outlineLevel="1">
      <c r="A54" s="1" t="s">
        <v>60</v>
      </c>
      <c r="B54" s="2">
        <v>100</v>
      </c>
      <c r="C54" s="2" t="s">
        <v>179</v>
      </c>
      <c r="D54" s="2"/>
      <c r="E54" s="2"/>
      <c r="F54" s="1">
        <f>uL_T(B54)</f>
        <v>418.9933298552427</v>
      </c>
      <c r="G54" s="1" t="s">
        <v>171</v>
      </c>
      <c r="H54" s="2" t="s">
        <v>199</v>
      </c>
    </row>
    <row r="55" spans="1:8" s="9" customFormat="1" ht="12.75" outlineLevel="1">
      <c r="A55" s="1" t="s">
        <v>61</v>
      </c>
      <c r="B55" s="2">
        <v>1</v>
      </c>
      <c r="C55" s="2" t="s">
        <v>178</v>
      </c>
      <c r="D55" s="2">
        <v>100</v>
      </c>
      <c r="E55" s="2" t="s">
        <v>179</v>
      </c>
      <c r="F55" s="1">
        <f>u_pT(B55,D55)</f>
        <v>2506.1714264660072</v>
      </c>
      <c r="G55" s="1" t="s">
        <v>171</v>
      </c>
      <c r="H55" s="2" t="s">
        <v>235</v>
      </c>
    </row>
    <row r="56" spans="1:8" s="9" customFormat="1" ht="12.75" outlineLevel="1">
      <c r="A56" s="1" t="s">
        <v>62</v>
      </c>
      <c r="B56" s="2">
        <v>1</v>
      </c>
      <c r="C56" s="2" t="s">
        <v>178</v>
      </c>
      <c r="D56" s="2">
        <v>1000</v>
      </c>
      <c r="E56" s="2" t="s">
        <v>171</v>
      </c>
      <c r="F56" s="1">
        <f>u_ph(B56,D56)</f>
        <v>956.2074341870137</v>
      </c>
      <c r="G56" s="1" t="s">
        <v>171</v>
      </c>
      <c r="H56" s="2" t="s">
        <v>236</v>
      </c>
    </row>
    <row r="57" spans="1:8" s="9" customFormat="1" ht="12.75" outlineLevel="1">
      <c r="A57" s="1" t="s">
        <v>63</v>
      </c>
      <c r="B57" s="2">
        <v>1</v>
      </c>
      <c r="C57" s="2" t="s">
        <v>178</v>
      </c>
      <c r="D57" s="2">
        <v>1</v>
      </c>
      <c r="E57" s="2" t="s">
        <v>173</v>
      </c>
      <c r="F57" s="1">
        <f>u_ps(B57,D57)</f>
        <v>308.50821854568443</v>
      </c>
      <c r="G57" s="1" t="s">
        <v>171</v>
      </c>
      <c r="H57" s="2" t="s">
        <v>237</v>
      </c>
    </row>
    <row r="58" spans="1:7" s="13" customFormat="1" ht="15">
      <c r="A58" s="25" t="s">
        <v>183</v>
      </c>
      <c r="F58" s="12"/>
      <c r="G58" s="12"/>
    </row>
    <row r="59" spans="1:8" s="9" customFormat="1" ht="12.75" outlineLevel="1">
      <c r="A59" s="1" t="s">
        <v>64</v>
      </c>
      <c r="B59" s="2">
        <v>1</v>
      </c>
      <c r="C59" s="2" t="s">
        <v>178</v>
      </c>
      <c r="D59" s="2"/>
      <c r="E59" s="2"/>
      <c r="F59" s="1">
        <f>CpV_p(B59)</f>
        <v>2.0759380252044393</v>
      </c>
      <c r="G59" s="1" t="s">
        <v>224</v>
      </c>
      <c r="H59" s="2" t="s">
        <v>201</v>
      </c>
    </row>
    <row r="60" spans="1:8" s="9" customFormat="1" ht="12.75" outlineLevel="1">
      <c r="A60" s="1" t="s">
        <v>65</v>
      </c>
      <c r="B60" s="2">
        <v>1</v>
      </c>
      <c r="C60" s="2" t="s">
        <v>178</v>
      </c>
      <c r="D60" s="2"/>
      <c r="E60" s="2"/>
      <c r="F60" s="1">
        <f>CpL_p(B60)</f>
        <v>4.216149430838748</v>
      </c>
      <c r="G60" s="1" t="s">
        <v>224</v>
      </c>
      <c r="H60" s="2" t="s">
        <v>200</v>
      </c>
    </row>
    <row r="61" spans="1:8" s="9" customFormat="1" ht="12.75" outlineLevel="1">
      <c r="A61" s="1" t="s">
        <v>66</v>
      </c>
      <c r="B61" s="2">
        <v>100</v>
      </c>
      <c r="C61" s="2" t="s">
        <v>179</v>
      </c>
      <c r="D61" s="2"/>
      <c r="E61" s="2"/>
      <c r="F61" s="1">
        <f>CpV_T(B61)</f>
        <v>2.0774918684822654</v>
      </c>
      <c r="G61" s="1" t="s">
        <v>224</v>
      </c>
      <c r="H61" s="2" t="s">
        <v>201</v>
      </c>
    </row>
    <row r="62" spans="1:8" s="9" customFormat="1" ht="12.75" outlineLevel="1">
      <c r="A62" s="1" t="s">
        <v>67</v>
      </c>
      <c r="B62" s="2">
        <v>100</v>
      </c>
      <c r="C62" s="2" t="s">
        <v>179</v>
      </c>
      <c r="D62" s="2"/>
      <c r="E62" s="2"/>
      <c r="F62" s="1">
        <f>CpL_T(B62)</f>
        <v>4.2166451189235845</v>
      </c>
      <c r="G62" s="1" t="s">
        <v>224</v>
      </c>
      <c r="H62" s="2" t="s">
        <v>200</v>
      </c>
    </row>
    <row r="63" spans="1:8" s="9" customFormat="1" ht="12.75" outlineLevel="1">
      <c r="A63" s="1" t="s">
        <v>68</v>
      </c>
      <c r="B63" s="2">
        <v>1</v>
      </c>
      <c r="C63" s="2" t="s">
        <v>178</v>
      </c>
      <c r="D63" s="2">
        <v>100</v>
      </c>
      <c r="E63" s="2" t="s">
        <v>179</v>
      </c>
      <c r="F63" s="1">
        <f>Cp_pT(B63,D63)</f>
        <v>2.0741085545801092</v>
      </c>
      <c r="G63" s="1" t="s">
        <v>224</v>
      </c>
      <c r="H63" s="2" t="s">
        <v>238</v>
      </c>
    </row>
    <row r="64" spans="1:8" s="9" customFormat="1" ht="12.75" outlineLevel="1">
      <c r="A64" s="1" t="s">
        <v>69</v>
      </c>
      <c r="B64" s="2">
        <v>1</v>
      </c>
      <c r="C64" s="2" t="s">
        <v>178</v>
      </c>
      <c r="D64" s="2">
        <v>200</v>
      </c>
      <c r="E64" s="2" t="s">
        <v>171</v>
      </c>
      <c r="F64" s="1">
        <f>Cp_ph(B64,D64)</f>
        <v>4.179135731688021</v>
      </c>
      <c r="G64" s="1" t="s">
        <v>224</v>
      </c>
      <c r="H64" s="2" t="s">
        <v>239</v>
      </c>
    </row>
    <row r="65" spans="1:8" s="9" customFormat="1" ht="12.75" outlineLevel="1">
      <c r="A65" s="1" t="s">
        <v>70</v>
      </c>
      <c r="B65" s="2">
        <v>1</v>
      </c>
      <c r="C65" s="2" t="s">
        <v>178</v>
      </c>
      <c r="D65" s="2">
        <v>1</v>
      </c>
      <c r="E65" s="2" t="s">
        <v>173</v>
      </c>
      <c r="F65" s="1">
        <f>Cp_ps(B65,D65)</f>
        <v>4.190607037901294</v>
      </c>
      <c r="G65" s="1" t="s">
        <v>224</v>
      </c>
      <c r="H65" s="2" t="s">
        <v>240</v>
      </c>
    </row>
    <row r="66" spans="1:7" s="13" customFormat="1" ht="15">
      <c r="A66" s="25" t="s">
        <v>185</v>
      </c>
      <c r="F66" s="12"/>
      <c r="G66" s="12"/>
    </row>
    <row r="67" spans="1:8" s="9" customFormat="1" ht="12.75" outlineLevel="1">
      <c r="A67" s="1" t="s">
        <v>71</v>
      </c>
      <c r="B67" s="2">
        <v>1</v>
      </c>
      <c r="C67" s="2" t="s">
        <v>178</v>
      </c>
      <c r="D67" s="2"/>
      <c r="E67" s="2"/>
      <c r="F67" s="1">
        <f>CvV_p(B67)</f>
        <v>1.5526969793308025</v>
      </c>
      <c r="G67" s="1" t="s">
        <v>224</v>
      </c>
      <c r="H67" s="2" t="s">
        <v>203</v>
      </c>
    </row>
    <row r="68" spans="1:8" s="9" customFormat="1" ht="12.75" outlineLevel="1">
      <c r="A68" s="1" t="s">
        <v>72</v>
      </c>
      <c r="B68" s="2">
        <v>1</v>
      </c>
      <c r="C68" s="2" t="s">
        <v>178</v>
      </c>
      <c r="D68" s="2"/>
      <c r="E68" s="2"/>
      <c r="F68" s="1">
        <f>CvL_p(B68)</f>
        <v>3.7696996827334974</v>
      </c>
      <c r="G68" s="1" t="s">
        <v>224</v>
      </c>
      <c r="H68" s="2" t="s">
        <v>202</v>
      </c>
    </row>
    <row r="69" spans="1:8" s="9" customFormat="1" ht="12.75" outlineLevel="1">
      <c r="A69" s="1" t="s">
        <v>73</v>
      </c>
      <c r="B69" s="2">
        <v>100</v>
      </c>
      <c r="C69" s="2" t="s">
        <v>179</v>
      </c>
      <c r="D69" s="2"/>
      <c r="E69" s="2"/>
      <c r="F69" s="1">
        <f>CvV_T(B69)</f>
        <v>1.5536986960345103</v>
      </c>
      <c r="G69" s="1" t="s">
        <v>224</v>
      </c>
      <c r="H69" s="2" t="s">
        <v>203</v>
      </c>
    </row>
    <row r="70" spans="1:8" s="9" customFormat="1" ht="12.75" outlineLevel="1">
      <c r="A70" s="1" t="s">
        <v>74</v>
      </c>
      <c r="B70" s="2">
        <v>100</v>
      </c>
      <c r="C70" s="2" t="s">
        <v>179</v>
      </c>
      <c r="D70" s="2"/>
      <c r="E70" s="2"/>
      <c r="F70" s="1">
        <f>CvL_T(B70)</f>
        <v>3.7677002201427507</v>
      </c>
      <c r="G70" s="1" t="s">
        <v>224</v>
      </c>
      <c r="H70" s="2" t="s">
        <v>202</v>
      </c>
    </row>
    <row r="71" spans="1:8" s="9" customFormat="1" ht="12.75" outlineLevel="1">
      <c r="A71" s="1" t="s">
        <v>75</v>
      </c>
      <c r="B71" s="2">
        <v>1</v>
      </c>
      <c r="C71" s="2" t="s">
        <v>178</v>
      </c>
      <c r="D71" s="2">
        <v>100</v>
      </c>
      <c r="E71" s="2" t="s">
        <v>179</v>
      </c>
      <c r="F71" s="1">
        <f>Cv_pT(B71,D71)</f>
        <v>1.5513972494644879</v>
      </c>
      <c r="G71" s="1" t="s">
        <v>224</v>
      </c>
      <c r="H71" s="2" t="s">
        <v>241</v>
      </c>
    </row>
    <row r="72" spans="1:8" s="9" customFormat="1" ht="12.75" outlineLevel="1">
      <c r="A72" s="1" t="s">
        <v>76</v>
      </c>
      <c r="B72" s="2">
        <v>1</v>
      </c>
      <c r="C72" s="2" t="s">
        <v>178</v>
      </c>
      <c r="D72" s="2">
        <v>200</v>
      </c>
      <c r="E72" s="2" t="s">
        <v>171</v>
      </c>
      <c r="F72" s="1">
        <f>Cv_ph(B72,D72)</f>
        <v>4.035176363579673</v>
      </c>
      <c r="G72" s="1" t="s">
        <v>224</v>
      </c>
      <c r="H72" s="2" t="s">
        <v>242</v>
      </c>
    </row>
    <row r="73" spans="1:8" s="9" customFormat="1" ht="12.75" outlineLevel="1">
      <c r="A73" s="1" t="s">
        <v>77</v>
      </c>
      <c r="B73" s="2">
        <v>1</v>
      </c>
      <c r="C73" s="2" t="s">
        <v>178</v>
      </c>
      <c r="D73" s="2">
        <v>1</v>
      </c>
      <c r="E73" s="2" t="s">
        <v>173</v>
      </c>
      <c r="F73" s="1">
        <f>Cv_ps(B73,D73)</f>
        <v>3.9029194681136645</v>
      </c>
      <c r="G73" s="1" t="s">
        <v>224</v>
      </c>
      <c r="H73" s="2" t="s">
        <v>243</v>
      </c>
    </row>
    <row r="74" spans="1:7" s="13" customFormat="1" ht="15">
      <c r="A74" s="25" t="s">
        <v>184</v>
      </c>
      <c r="F74" s="12"/>
      <c r="G74" s="12"/>
    </row>
    <row r="75" spans="1:8" s="9" customFormat="1" ht="12.75" outlineLevel="1">
      <c r="A75" s="1" t="s">
        <v>78</v>
      </c>
      <c r="B75" s="2">
        <v>1</v>
      </c>
      <c r="C75" s="2" t="s">
        <v>178</v>
      </c>
      <c r="D75" s="2"/>
      <c r="E75" s="2"/>
      <c r="F75" s="1">
        <f>wV_p(B75)</f>
        <v>472.0541571060476</v>
      </c>
      <c r="G75" s="1" t="s">
        <v>174</v>
      </c>
      <c r="H75" s="2" t="s">
        <v>205</v>
      </c>
    </row>
    <row r="76" spans="1:8" s="9" customFormat="1" ht="12.75" outlineLevel="1">
      <c r="A76" s="1" t="s">
        <v>79</v>
      </c>
      <c r="B76" s="2">
        <v>1</v>
      </c>
      <c r="C76" s="2" t="s">
        <v>178</v>
      </c>
      <c r="D76" s="2"/>
      <c r="E76" s="2"/>
      <c r="F76" s="1">
        <f>wL_p(B76)</f>
        <v>1545.4519475339648</v>
      </c>
      <c r="G76" s="1" t="s">
        <v>174</v>
      </c>
      <c r="H76" s="2" t="s">
        <v>204</v>
      </c>
    </row>
    <row r="77" spans="1:8" s="9" customFormat="1" ht="12.75" outlineLevel="1">
      <c r="A77" s="1" t="s">
        <v>80</v>
      </c>
      <c r="B77" s="2">
        <v>100</v>
      </c>
      <c r="C77" s="2" t="s">
        <v>179</v>
      </c>
      <c r="D77" s="2"/>
      <c r="E77" s="2"/>
      <c r="F77" s="1">
        <f>wV_T(B77)</f>
        <v>472.2559492389438</v>
      </c>
      <c r="G77" s="1" t="s">
        <v>174</v>
      </c>
      <c r="H77" s="2" t="s">
        <v>205</v>
      </c>
    </row>
    <row r="78" spans="1:8" s="9" customFormat="1" ht="12.75" outlineLevel="1">
      <c r="A78" s="1" t="s">
        <v>81</v>
      </c>
      <c r="B78" s="2">
        <v>100</v>
      </c>
      <c r="C78" s="2" t="s">
        <v>179</v>
      </c>
      <c r="D78" s="2"/>
      <c r="E78" s="2"/>
      <c r="F78" s="1">
        <f>wL_T(B78)</f>
        <v>1545.0922491938707</v>
      </c>
      <c r="G78" s="1" t="s">
        <v>174</v>
      </c>
      <c r="H78" s="2" t="s">
        <v>204</v>
      </c>
    </row>
    <row r="79" spans="1:8" s="9" customFormat="1" ht="12.75" outlineLevel="1">
      <c r="A79" s="1" t="s">
        <v>82</v>
      </c>
      <c r="B79" s="2">
        <v>1</v>
      </c>
      <c r="C79" s="2" t="s">
        <v>178</v>
      </c>
      <c r="D79" s="2">
        <v>100</v>
      </c>
      <c r="E79" s="2" t="s">
        <v>179</v>
      </c>
      <c r="F79" s="1">
        <f>w_pT(B79,D79)</f>
        <v>472.3375235248552</v>
      </c>
      <c r="G79" s="1" t="s">
        <v>174</v>
      </c>
      <c r="H79" s="2" t="s">
        <v>244</v>
      </c>
    </row>
    <row r="80" spans="1:8" s="9" customFormat="1" ht="12.75" outlineLevel="1">
      <c r="A80" s="1" t="s">
        <v>83</v>
      </c>
      <c r="B80" s="2">
        <v>1</v>
      </c>
      <c r="C80" s="2" t="s">
        <v>178</v>
      </c>
      <c r="D80" s="2">
        <v>200</v>
      </c>
      <c r="E80" s="2" t="s">
        <v>171</v>
      </c>
      <c r="F80" s="1">
        <f>w_ph(B80,D80)</f>
        <v>1542.6824750114695</v>
      </c>
      <c r="G80" s="1" t="s">
        <v>174</v>
      </c>
      <c r="H80" s="2" t="s">
        <v>245</v>
      </c>
    </row>
    <row r="81" spans="1:8" s="9" customFormat="1" ht="12.75" outlineLevel="1">
      <c r="A81" s="1" t="s">
        <v>84</v>
      </c>
      <c r="B81" s="2">
        <v>1</v>
      </c>
      <c r="C81" s="2" t="s">
        <v>178</v>
      </c>
      <c r="D81" s="2">
        <v>1</v>
      </c>
      <c r="E81" s="2" t="s">
        <v>173</v>
      </c>
      <c r="F81" s="1">
        <f>w_ps(B81,D81)</f>
        <v>1557.858535532216</v>
      </c>
      <c r="G81" s="1" t="s">
        <v>174</v>
      </c>
      <c r="H81" s="2" t="s">
        <v>114</v>
      </c>
    </row>
    <row r="82" spans="1:7" s="13" customFormat="1" ht="15">
      <c r="A82" s="25" t="s">
        <v>7</v>
      </c>
      <c r="F82" s="12"/>
      <c r="G82" s="12"/>
    </row>
    <row r="83" spans="1:7" s="9" customFormat="1" ht="11.25" outlineLevel="1">
      <c r="A83" s="9" t="s">
        <v>127</v>
      </c>
      <c r="F83" s="11"/>
      <c r="G83" s="11"/>
    </row>
    <row r="84" spans="1:7" s="9" customFormat="1" ht="11.25" outlineLevel="1">
      <c r="A84" s="9" t="s">
        <v>210</v>
      </c>
      <c r="F84" s="11"/>
      <c r="G84" s="11"/>
    </row>
    <row r="85" spans="1:8" s="9" customFormat="1" ht="12.75" outlineLevel="1">
      <c r="A85" s="1" t="s">
        <v>85</v>
      </c>
      <c r="B85" s="2">
        <v>1</v>
      </c>
      <c r="C85" s="2" t="s">
        <v>178</v>
      </c>
      <c r="D85" s="2">
        <v>100</v>
      </c>
      <c r="E85" s="2" t="s">
        <v>179</v>
      </c>
      <c r="F85" s="1">
        <f>my_pT(B85,D85)</f>
        <v>1.2270405707196504E-05</v>
      </c>
      <c r="G85" s="1" t="s">
        <v>207</v>
      </c>
      <c r="H85" s="2" t="s">
        <v>115</v>
      </c>
    </row>
    <row r="86" spans="1:8" s="9" customFormat="1" ht="12.75" outlineLevel="1">
      <c r="A86" s="1" t="s">
        <v>86</v>
      </c>
      <c r="B86" s="2">
        <v>1</v>
      </c>
      <c r="C86" s="2" t="s">
        <v>178</v>
      </c>
      <c r="D86" s="2">
        <v>100</v>
      </c>
      <c r="E86" s="2" t="s">
        <v>171</v>
      </c>
      <c r="F86" s="10">
        <f>my_ph(B86,D86)</f>
        <v>0.000914003770302108</v>
      </c>
      <c r="G86" s="1" t="s">
        <v>207</v>
      </c>
      <c r="H86" s="2" t="s">
        <v>116</v>
      </c>
    </row>
    <row r="87" spans="1:8" s="9" customFormat="1" ht="12.75" outlineLevel="1">
      <c r="A87" s="1" t="s">
        <v>87</v>
      </c>
      <c r="B87" s="2">
        <v>1</v>
      </c>
      <c r="C87" s="2" t="s">
        <v>178</v>
      </c>
      <c r="D87" s="2">
        <v>1</v>
      </c>
      <c r="E87" s="2" t="s">
        <v>173</v>
      </c>
      <c r="F87" s="10">
        <f>my_ps(B87,D87)</f>
        <v>0.00038422186564756434</v>
      </c>
      <c r="G87" s="1" t="s">
        <v>207</v>
      </c>
      <c r="H87" s="2" t="s">
        <v>117</v>
      </c>
    </row>
    <row r="88" spans="1:13" ht="18">
      <c r="A88" s="6" t="s">
        <v>2</v>
      </c>
      <c r="F88" s="10"/>
      <c r="H88" s="40"/>
      <c r="I88" s="7"/>
      <c r="J88" s="7"/>
      <c r="K88" s="7"/>
      <c r="L88" s="7"/>
      <c r="M88" s="7"/>
    </row>
    <row r="89" spans="1:13" ht="12.75" outlineLevel="1">
      <c r="A89" s="9" t="s">
        <v>8</v>
      </c>
      <c r="F89" s="10"/>
      <c r="H89" s="40"/>
      <c r="I89" s="7"/>
      <c r="J89" s="7"/>
      <c r="K89" s="7"/>
      <c r="L89" s="7"/>
      <c r="M89" s="7"/>
    </row>
    <row r="90" spans="1:13" ht="12.75" outlineLevel="1">
      <c r="A90" s="1" t="s">
        <v>88</v>
      </c>
      <c r="B90">
        <v>1</v>
      </c>
      <c r="C90" t="s">
        <v>178</v>
      </c>
      <c r="D90">
        <v>200</v>
      </c>
      <c r="E90" t="s">
        <v>179</v>
      </c>
      <c r="F90" s="10">
        <f>pr_pT(B90,D90)</f>
        <v>0.9578082143858805</v>
      </c>
      <c r="G90" s="1" t="s">
        <v>11</v>
      </c>
      <c r="H90" s="40"/>
      <c r="I90" s="7"/>
      <c r="J90" s="7"/>
      <c r="K90" s="7"/>
      <c r="L90" s="7"/>
      <c r="M90" s="7"/>
    </row>
    <row r="91" spans="1:13" ht="12.75" outlineLevel="1">
      <c r="A91" s="1" t="s">
        <v>89</v>
      </c>
      <c r="B91">
        <v>1</v>
      </c>
      <c r="C91" t="s">
        <v>178</v>
      </c>
      <c r="D91">
        <v>2875.4750649489024</v>
      </c>
      <c r="E91" t="s">
        <v>171</v>
      </c>
      <c r="F91" s="10">
        <f>pr_ph(B91,D91)</f>
        <v>0.9578082614835574</v>
      </c>
      <c r="G91" s="1" t="s">
        <v>11</v>
      </c>
      <c r="H91" s="40"/>
      <c r="I91" s="7"/>
      <c r="J91" s="7"/>
      <c r="K91" s="7"/>
      <c r="L91" s="7"/>
      <c r="M91" s="7"/>
    </row>
    <row r="92" spans="1:13" s="13" customFormat="1" ht="15">
      <c r="A92" s="25" t="s">
        <v>129</v>
      </c>
      <c r="F92" s="12"/>
      <c r="G92" s="12"/>
      <c r="H92" s="41"/>
      <c r="I92" s="41"/>
      <c r="J92" s="41"/>
      <c r="K92" s="41"/>
      <c r="L92" s="41"/>
      <c r="M92" s="41"/>
    </row>
    <row r="93" spans="1:7" s="9" customFormat="1" ht="11.25" outlineLevel="1">
      <c r="A93" s="9" t="s">
        <v>130</v>
      </c>
      <c r="F93" s="11"/>
      <c r="G93" s="11"/>
    </row>
    <row r="94" spans="1:8" s="9" customFormat="1" ht="12.75" outlineLevel="1">
      <c r="A94" s="1" t="s">
        <v>90</v>
      </c>
      <c r="B94" s="2">
        <v>100</v>
      </c>
      <c r="C94" s="2" t="s">
        <v>178</v>
      </c>
      <c r="D94" s="2"/>
      <c r="E94" s="2"/>
      <c r="F94" s="1">
        <f>tcL_p(B94)</f>
        <v>0.5245401945825722</v>
      </c>
      <c r="G94" s="1" t="s">
        <v>131</v>
      </c>
      <c r="H94" s="2" t="s">
        <v>132</v>
      </c>
    </row>
    <row r="95" spans="1:8" s="9" customFormat="1" ht="12.75" outlineLevel="1">
      <c r="A95" s="1" t="s">
        <v>91</v>
      </c>
      <c r="B95" s="2">
        <v>1</v>
      </c>
      <c r="C95" s="2" t="s">
        <v>178</v>
      </c>
      <c r="D95" s="2"/>
      <c r="E95" s="2"/>
      <c r="F95" s="1">
        <f>tcV_p(B95)</f>
        <v>0.024753667592350457</v>
      </c>
      <c r="G95" s="1" t="s">
        <v>131</v>
      </c>
      <c r="H95" s="2" t="s">
        <v>133</v>
      </c>
    </row>
    <row r="96" spans="1:8" s="9" customFormat="1" ht="12.75" outlineLevel="1">
      <c r="A96" s="1" t="s">
        <v>92</v>
      </c>
      <c r="B96" s="2">
        <v>100</v>
      </c>
      <c r="C96" s="2" t="s">
        <v>179</v>
      </c>
      <c r="D96" s="2"/>
      <c r="E96" s="2"/>
      <c r="F96" s="1">
        <f>tcL_T(B96)</f>
        <v>0.6777575115871504</v>
      </c>
      <c r="G96" s="1" t="s">
        <v>131</v>
      </c>
      <c r="H96" s="2" t="s">
        <v>132</v>
      </c>
    </row>
    <row r="97" spans="1:8" s="9" customFormat="1" ht="12.75" outlineLevel="1">
      <c r="A97" s="1" t="s">
        <v>93</v>
      </c>
      <c r="B97" s="2">
        <v>100</v>
      </c>
      <c r="C97" s="2" t="s">
        <v>179</v>
      </c>
      <c r="D97" s="2"/>
      <c r="E97" s="2"/>
      <c r="F97" s="1">
        <f>tcV_T(B97)</f>
        <v>0.024793871441017475</v>
      </c>
      <c r="G97" s="1" t="s">
        <v>131</v>
      </c>
      <c r="H97" s="2" t="s">
        <v>133</v>
      </c>
    </row>
    <row r="98" spans="1:8" s="9" customFormat="1" ht="12.75" outlineLevel="1">
      <c r="A98" s="1" t="s">
        <v>94</v>
      </c>
      <c r="B98" s="2">
        <v>100</v>
      </c>
      <c r="C98" s="2" t="s">
        <v>178</v>
      </c>
      <c r="D98" s="2">
        <v>350</v>
      </c>
      <c r="E98" s="2" t="s">
        <v>179</v>
      </c>
      <c r="F98" s="1">
        <f>tc_pt(B98,D98)</f>
        <v>0.06854530375253094</v>
      </c>
      <c r="G98" s="1" t="s">
        <v>131</v>
      </c>
      <c r="H98" s="2" t="s">
        <v>134</v>
      </c>
    </row>
    <row r="99" spans="1:8" s="9" customFormat="1" ht="12.75" outlineLevel="1">
      <c r="A99" s="1" t="s">
        <v>95</v>
      </c>
      <c r="B99" s="2">
        <v>1</v>
      </c>
      <c r="C99" s="2" t="s">
        <v>178</v>
      </c>
      <c r="D99" s="2">
        <v>350</v>
      </c>
      <c r="E99" s="2" t="s">
        <v>173</v>
      </c>
      <c r="F99" s="1">
        <f>tc_ph(B99,D99)</f>
        <v>0.6692963321574509</v>
      </c>
      <c r="G99" s="1" t="s">
        <v>131</v>
      </c>
      <c r="H99" s="2" t="s">
        <v>135</v>
      </c>
    </row>
    <row r="100" spans="1:8" s="9" customFormat="1" ht="12.75" outlineLevel="1">
      <c r="A100" s="1" t="s">
        <v>96</v>
      </c>
      <c r="B100" s="2">
        <v>100</v>
      </c>
      <c r="C100" s="2" t="s">
        <v>173</v>
      </c>
      <c r="D100" s="2">
        <v>0.34</v>
      </c>
      <c r="E100" s="2" t="s">
        <v>173</v>
      </c>
      <c r="F100" s="1">
        <f>tc_hs(B100,D100)</f>
        <v>0.6062831238489123</v>
      </c>
      <c r="G100" s="1" t="s">
        <v>131</v>
      </c>
      <c r="H100" s="2" t="s">
        <v>136</v>
      </c>
    </row>
    <row r="101" spans="1:8" s="9" customFormat="1" ht="15">
      <c r="A101" s="25" t="s">
        <v>137</v>
      </c>
      <c r="B101" s="2"/>
      <c r="C101" s="2"/>
      <c r="D101" s="2"/>
      <c r="E101" s="2"/>
      <c r="F101" s="1"/>
      <c r="G101" s="1"/>
      <c r="H101" s="2"/>
    </row>
    <row r="102" spans="1:7" s="9" customFormat="1" ht="11.25" outlineLevel="1">
      <c r="A102" s="9" t="s">
        <v>138</v>
      </c>
      <c r="F102" s="11"/>
      <c r="G102" s="11"/>
    </row>
    <row r="103" spans="1:8" s="9" customFormat="1" ht="12.75" outlineLevel="1">
      <c r="A103" s="1" t="s">
        <v>97</v>
      </c>
      <c r="B103" s="2">
        <v>100</v>
      </c>
      <c r="C103" s="2" t="s">
        <v>179</v>
      </c>
      <c r="D103" s="2"/>
      <c r="E103" s="2"/>
      <c r="F103" s="1">
        <f>st_T(B104)</f>
        <v>0.07550766158583765</v>
      </c>
      <c r="G103" s="1" t="s">
        <v>139</v>
      </c>
      <c r="H103" s="2" t="s">
        <v>141</v>
      </c>
    </row>
    <row r="104" spans="1:8" s="9" customFormat="1" ht="12.75" outlineLevel="1">
      <c r="A104" s="1" t="s">
        <v>98</v>
      </c>
      <c r="B104" s="2">
        <v>1</v>
      </c>
      <c r="C104" s="2" t="s">
        <v>178</v>
      </c>
      <c r="D104" s="2"/>
      <c r="E104" s="2"/>
      <c r="F104" s="1">
        <f>st_p(B104)</f>
        <v>0.05898778418085993</v>
      </c>
      <c r="G104" s="1" t="s">
        <v>139</v>
      </c>
      <c r="H104" s="2" t="s">
        <v>141</v>
      </c>
    </row>
    <row r="105" spans="1:7" s="13" customFormat="1" ht="15">
      <c r="A105" s="25" t="s">
        <v>206</v>
      </c>
      <c r="F105" s="12"/>
      <c r="G105" s="12"/>
    </row>
    <row r="106" spans="1:8" s="9" customFormat="1" ht="12.75" outlineLevel="1">
      <c r="A106" s="1" t="s">
        <v>99</v>
      </c>
      <c r="B106" s="2">
        <v>1</v>
      </c>
      <c r="C106" s="2" t="s">
        <v>178</v>
      </c>
      <c r="D106" s="2">
        <v>1000</v>
      </c>
      <c r="E106" s="2" t="s">
        <v>171</v>
      </c>
      <c r="F106" s="1">
        <f>x_ph(B106,D106)</f>
        <v>0.2580554239027952</v>
      </c>
      <c r="G106" s="1"/>
      <c r="H106" s="2" t="s">
        <v>118</v>
      </c>
    </row>
    <row r="107" spans="1:8" s="9" customFormat="1" ht="12.75" outlineLevel="1">
      <c r="A107" s="1" t="s">
        <v>100</v>
      </c>
      <c r="B107" s="2">
        <v>1</v>
      </c>
      <c r="C107" s="2" t="s">
        <v>178</v>
      </c>
      <c r="D107" s="2">
        <v>4</v>
      </c>
      <c r="E107" s="2" t="s">
        <v>173</v>
      </c>
      <c r="F107" s="1">
        <f>x_ps(B107,D107)</f>
        <v>0.4453979607323203</v>
      </c>
      <c r="G107" s="1"/>
      <c r="H107" s="2" t="s">
        <v>119</v>
      </c>
    </row>
    <row r="108" spans="1:7" s="13" customFormat="1" ht="15">
      <c r="A108" s="25" t="s">
        <v>126</v>
      </c>
      <c r="F108" s="12"/>
      <c r="G108" s="12"/>
    </row>
    <row r="109" spans="1:7" s="9" customFormat="1" ht="11.25" outlineLevel="1">
      <c r="A109" s="9" t="s">
        <v>216</v>
      </c>
      <c r="F109" s="11"/>
      <c r="G109" s="11"/>
    </row>
    <row r="110" spans="1:7" s="9" customFormat="1" ht="11.25" outlineLevel="1">
      <c r="A110" s="9" t="s">
        <v>209</v>
      </c>
      <c r="F110" s="11"/>
      <c r="G110" s="11"/>
    </row>
    <row r="111" spans="1:8" s="9" customFormat="1" ht="12.75" outlineLevel="1">
      <c r="A111" s="1" t="s">
        <v>101</v>
      </c>
      <c r="B111" s="2">
        <v>1</v>
      </c>
      <c r="C111" s="2" t="s">
        <v>178</v>
      </c>
      <c r="D111" s="2">
        <v>418</v>
      </c>
      <c r="E111" s="2" t="s">
        <v>171</v>
      </c>
      <c r="F111" s="8">
        <f>vx_ph(B111,D111)</f>
        <v>0.2884930934370672</v>
      </c>
      <c r="G111" s="1"/>
      <c r="H111" s="2" t="s">
        <v>120</v>
      </c>
    </row>
    <row r="112" spans="1:8" s="9" customFormat="1" ht="12.75" outlineLevel="1">
      <c r="A112" s="1" t="s">
        <v>102</v>
      </c>
      <c r="B112" s="2">
        <v>1</v>
      </c>
      <c r="C112" s="2" t="s">
        <v>178</v>
      </c>
      <c r="D112" s="2">
        <v>4</v>
      </c>
      <c r="E112" s="2" t="s">
        <v>173</v>
      </c>
      <c r="F112" s="8">
        <f>vx_ps(B112,D112)</f>
        <v>0.9992338266388803</v>
      </c>
      <c r="G112" s="1"/>
      <c r="H112" s="2" t="s">
        <v>121</v>
      </c>
    </row>
    <row r="113" spans="6:7" s="9" customFormat="1" ht="11.25">
      <c r="F113" s="11"/>
      <c r="G113" s="11"/>
    </row>
    <row r="114" ht="15">
      <c r="A114" s="25" t="s">
        <v>12</v>
      </c>
    </row>
    <row r="115" ht="12.75">
      <c r="A115" s="11" t="s">
        <v>113</v>
      </c>
    </row>
    <row r="116" ht="12.75">
      <c r="A116" s="9" t="s">
        <v>1</v>
      </c>
    </row>
    <row r="117" ht="12.75">
      <c r="A117" s="9" t="s">
        <v>112</v>
      </c>
    </row>
    <row r="118" ht="12.75">
      <c r="A118" s="11" t="s">
        <v>109</v>
      </c>
    </row>
    <row r="119" ht="12.75">
      <c r="A119" s="9" t="s">
        <v>111</v>
      </c>
    </row>
    <row r="120" ht="12.75">
      <c r="A120" s="9" t="s">
        <v>110</v>
      </c>
    </row>
    <row r="121" ht="12.75">
      <c r="A121" s="9" t="s">
        <v>108</v>
      </c>
    </row>
    <row r="122" ht="12.75">
      <c r="A122" s="11" t="s">
        <v>106</v>
      </c>
    </row>
    <row r="123" ht="12.75">
      <c r="A123" s="9" t="s">
        <v>107</v>
      </c>
    </row>
    <row r="124" ht="12.75">
      <c r="A124" s="11" t="s">
        <v>19</v>
      </c>
    </row>
    <row r="125" ht="12.75">
      <c r="A125" s="9" t="s">
        <v>105</v>
      </c>
    </row>
    <row r="126" ht="12.75">
      <c r="A126" s="9" t="s">
        <v>104</v>
      </c>
    </row>
    <row r="127" ht="10.5" customHeight="1">
      <c r="A127" s="9" t="s">
        <v>103</v>
      </c>
    </row>
    <row r="128" ht="11.25" customHeight="1">
      <c r="A128" s="9" t="s">
        <v>20</v>
      </c>
    </row>
    <row r="129" ht="11.25" customHeight="1">
      <c r="A129" s="11" t="s">
        <v>14</v>
      </c>
    </row>
    <row r="130" ht="12.75">
      <c r="A130" s="9" t="s">
        <v>17</v>
      </c>
    </row>
    <row r="131" ht="12.75">
      <c r="A131" s="9" t="s">
        <v>10</v>
      </c>
    </row>
    <row r="132" ht="12.75">
      <c r="A132" s="9" t="s">
        <v>15</v>
      </c>
    </row>
    <row r="133" ht="12.75">
      <c r="A133" s="9" t="s">
        <v>16</v>
      </c>
    </row>
    <row r="134" ht="12.75">
      <c r="A134" s="9" t="s">
        <v>18</v>
      </c>
    </row>
    <row r="135" ht="12.75">
      <c r="A135" s="11" t="s">
        <v>4</v>
      </c>
    </row>
    <row r="136" ht="12.75">
      <c r="A136" s="9" t="s">
        <v>10</v>
      </c>
    </row>
    <row r="137" ht="12.75">
      <c r="A137" s="9" t="s">
        <v>6</v>
      </c>
    </row>
    <row r="138" ht="12.75">
      <c r="A138" s="9" t="s">
        <v>5</v>
      </c>
    </row>
    <row r="139" ht="12.75">
      <c r="A139" s="9" t="s">
        <v>13</v>
      </c>
    </row>
    <row r="140" ht="12.75">
      <c r="A140" s="9" t="s">
        <v>9</v>
      </c>
    </row>
    <row r="141" ht="12.75">
      <c r="A141" s="11" t="s">
        <v>170</v>
      </c>
    </row>
    <row r="142" ht="12.75">
      <c r="A142" s="9" t="s">
        <v>166</v>
      </c>
    </row>
    <row r="143" ht="12.75">
      <c r="A143" s="9" t="s">
        <v>167</v>
      </c>
    </row>
    <row r="144" ht="12.75">
      <c r="A144" s="9" t="s">
        <v>168</v>
      </c>
    </row>
    <row r="145" ht="12.75">
      <c r="A145" s="11" t="s">
        <v>169</v>
      </c>
    </row>
    <row r="146" ht="12.75">
      <c r="A146" s="9" t="s">
        <v>122</v>
      </c>
    </row>
    <row r="147" ht="12.75">
      <c r="A147" s="9" t="s">
        <v>140</v>
      </c>
    </row>
    <row r="148" ht="12.75">
      <c r="A148" s="9" t="s">
        <v>123</v>
      </c>
    </row>
    <row r="149" ht="12.75">
      <c r="A149" s="9" t="s">
        <v>124</v>
      </c>
    </row>
    <row r="150" ht="12.75">
      <c r="A150" s="9" t="s">
        <v>125</v>
      </c>
    </row>
  </sheetData>
  <sheetProtection/>
  <hyperlinks>
    <hyperlink ref="E1" r:id="rId1" display="http://www.x-eng.com"/>
    <hyperlink ref="F4" r:id="rId2" display="magnus@x-eng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70" zoomScaleNormal="70" zoomScalePageLayoutView="0" workbookViewId="0" topLeftCell="A1">
      <selection activeCell="R1" sqref="R1"/>
    </sheetView>
  </sheetViews>
  <sheetFormatPr defaultColWidth="9.140625" defaultRowHeight="12.75"/>
  <cols>
    <col min="2" max="2" width="9.8515625" style="0" customWidth="1"/>
    <col min="3" max="3" width="10.00390625" style="0" customWidth="1"/>
    <col min="5" max="5" width="9.8515625" style="0" customWidth="1"/>
    <col min="10" max="10" width="11.57421875" style="0" customWidth="1"/>
    <col min="14" max="14" width="10.57421875" style="0" customWidth="1"/>
    <col min="29" max="29" width="11.140625" style="0" bestFit="1" customWidth="1"/>
    <col min="30" max="31" width="9.7109375" style="0" bestFit="1" customWidth="1"/>
    <col min="34" max="34" width="10.28125" style="0" bestFit="1" customWidth="1"/>
    <col min="35" max="35" width="9.57421875" style="0" bestFit="1" customWidth="1"/>
    <col min="36" max="36" width="9.57421875" style="0" customWidth="1"/>
    <col min="37" max="37" width="8.140625" style="0" customWidth="1"/>
    <col min="38" max="38" width="8.28125" style="0" bestFit="1" customWidth="1"/>
    <col min="39" max="39" width="7.8515625" style="0" bestFit="1" customWidth="1"/>
    <col min="40" max="40" width="9.140625" style="0" bestFit="1" customWidth="1"/>
    <col min="41" max="41" width="11.28125" style="0" bestFit="1" customWidth="1"/>
    <col min="42" max="42" width="10.5742187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5.5">
      <c r="A2" s="131" t="s">
        <v>308</v>
      </c>
      <c r="B2" s="131"/>
      <c r="C2" s="131"/>
      <c r="D2" s="2"/>
      <c r="E2" s="2"/>
      <c r="F2" s="2"/>
      <c r="G2" s="2"/>
      <c r="H2" s="2"/>
      <c r="I2" s="42"/>
      <c r="J2" s="43" t="s">
        <v>246</v>
      </c>
      <c r="K2" s="43" t="s">
        <v>247</v>
      </c>
      <c r="L2" s="43" t="s">
        <v>248</v>
      </c>
      <c r="M2" s="43" t="s">
        <v>249</v>
      </c>
      <c r="N2" s="43" t="s">
        <v>250</v>
      </c>
      <c r="O2" s="44" t="s">
        <v>251</v>
      </c>
      <c r="P2" s="44"/>
      <c r="Q2" s="78"/>
      <c r="R2" s="6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131"/>
      <c r="B3" s="131"/>
      <c r="C3" s="131"/>
      <c r="D3" s="2"/>
      <c r="E3" s="2"/>
      <c r="F3" s="2"/>
      <c r="G3" s="2"/>
      <c r="H3" s="2"/>
      <c r="I3" s="46"/>
      <c r="J3" s="47">
        <v>1</v>
      </c>
      <c r="K3" s="79">
        <v>0.05</v>
      </c>
      <c r="L3" s="80"/>
      <c r="M3" s="80"/>
      <c r="N3" s="81"/>
      <c r="O3" s="82" t="s">
        <v>252</v>
      </c>
      <c r="P3" s="83"/>
      <c r="Q3" s="133" t="s">
        <v>253</v>
      </c>
      <c r="R3" s="13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131"/>
      <c r="B4" s="131"/>
      <c r="C4" s="131"/>
      <c r="D4" s="2"/>
      <c r="E4" s="2"/>
      <c r="F4" s="2"/>
      <c r="G4" s="2"/>
      <c r="H4" s="2"/>
      <c r="I4" s="46"/>
      <c r="J4" s="47">
        <v>2</v>
      </c>
      <c r="K4" s="50">
        <v>150</v>
      </c>
      <c r="L4" s="75"/>
      <c r="M4" s="75"/>
      <c r="N4" s="76"/>
      <c r="O4" s="84" t="s">
        <v>252</v>
      </c>
      <c r="P4" s="83"/>
      <c r="Q4" s="85"/>
      <c r="R4" s="6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31"/>
      <c r="B5" s="131"/>
      <c r="C5" s="131"/>
      <c r="D5" s="2"/>
      <c r="E5" s="2"/>
      <c r="F5" s="2"/>
      <c r="G5" s="2"/>
      <c r="H5" s="2"/>
      <c r="I5" s="46"/>
      <c r="J5" s="47">
        <v>5</v>
      </c>
      <c r="K5" s="50">
        <v>150</v>
      </c>
      <c r="L5" s="51">
        <v>200</v>
      </c>
      <c r="M5" s="75"/>
      <c r="N5" s="76"/>
      <c r="O5" s="84" t="s">
        <v>252</v>
      </c>
      <c r="P5" s="83"/>
      <c r="Q5" s="64"/>
      <c r="R5" s="6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31"/>
      <c r="B6" s="131"/>
      <c r="C6" s="131"/>
      <c r="D6" s="2"/>
      <c r="E6" s="2"/>
      <c r="F6" s="2"/>
      <c r="G6" s="2"/>
      <c r="H6" s="2"/>
      <c r="I6" s="46"/>
      <c r="J6" s="47">
        <v>6</v>
      </c>
      <c r="K6" s="52">
        <v>150</v>
      </c>
      <c r="L6" s="53">
        <v>520</v>
      </c>
      <c r="M6" s="75"/>
      <c r="N6" s="76"/>
      <c r="O6" s="51">
        <v>100</v>
      </c>
      <c r="P6" s="83"/>
      <c r="Q6" s="86" t="str">
        <f>ROUND(SQRT((L5+273.15)*(L4+273.15))-273.15,1)&amp;" °C"</f>
        <v>86,4 °C</v>
      </c>
      <c r="R6" s="87" t="e">
        <f>ROUND(T_ph(K5,(M4+M5)/2),1)&amp;" °C"</f>
        <v>#VALUE!</v>
      </c>
      <c r="S6" s="2"/>
      <c r="T6" s="90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31"/>
      <c r="B7" s="131"/>
      <c r="C7" s="131"/>
      <c r="D7" s="2"/>
      <c r="E7" s="2"/>
      <c r="F7" s="2"/>
      <c r="G7" s="2"/>
      <c r="H7" s="2"/>
      <c r="I7" s="46"/>
      <c r="J7" s="47">
        <v>7</v>
      </c>
      <c r="K7" s="52">
        <v>0.05</v>
      </c>
      <c r="L7" s="75"/>
      <c r="M7" s="75"/>
      <c r="N7" s="76"/>
      <c r="O7" s="84" t="s">
        <v>252</v>
      </c>
      <c r="P7" s="83"/>
      <c r="Q7" s="87" t="s">
        <v>254</v>
      </c>
      <c r="R7" s="87" t="s">
        <v>255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131"/>
      <c r="B8" s="131"/>
      <c r="C8" s="131"/>
      <c r="D8" s="2"/>
      <c r="E8" s="2"/>
      <c r="F8" s="2"/>
      <c r="G8" s="2"/>
      <c r="H8" s="2"/>
      <c r="I8" s="46"/>
      <c r="J8" s="2"/>
      <c r="K8" s="2"/>
      <c r="L8" s="2"/>
      <c r="M8" s="2"/>
      <c r="N8" s="2"/>
      <c r="O8" s="2"/>
      <c r="P8" s="54"/>
      <c r="Q8" s="55"/>
      <c r="R8" s="5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31"/>
      <c r="B9" s="131"/>
      <c r="C9" s="131"/>
      <c r="D9" s="2"/>
      <c r="E9" s="2"/>
      <c r="F9" s="2"/>
      <c r="G9" s="2"/>
      <c r="H9" s="2"/>
      <c r="I9" s="46"/>
      <c r="J9" s="56"/>
      <c r="K9" s="57"/>
      <c r="L9" s="58"/>
      <c r="M9" s="57"/>
      <c r="N9" s="57"/>
      <c r="O9" s="59"/>
      <c r="P9" s="48"/>
      <c r="Q9" s="45"/>
      <c r="R9" s="4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31"/>
      <c r="B10" s="131"/>
      <c r="C10" s="131"/>
      <c r="D10" s="2"/>
      <c r="E10" s="2"/>
      <c r="F10" s="2"/>
      <c r="G10" s="2"/>
      <c r="H10" s="2"/>
      <c r="I10" s="46"/>
      <c r="J10" s="124" t="s">
        <v>300</v>
      </c>
      <c r="K10" s="91">
        <v>500</v>
      </c>
      <c r="L10" s="2"/>
      <c r="M10" s="2"/>
      <c r="N10" s="2"/>
      <c r="O10" s="2"/>
      <c r="P10" s="48"/>
      <c r="Q10" s="45"/>
      <c r="R10" s="4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131"/>
      <c r="B11" s="131"/>
      <c r="C11" s="131"/>
      <c r="D11" s="2"/>
      <c r="E11" s="2"/>
      <c r="F11" s="2"/>
      <c r="G11" s="2"/>
      <c r="H11" s="2"/>
      <c r="I11" s="46"/>
      <c r="J11" s="125" t="s">
        <v>301</v>
      </c>
      <c r="K11" s="92">
        <v>2</v>
      </c>
      <c r="L11" s="58"/>
      <c r="M11" s="57"/>
      <c r="N11" s="57"/>
      <c r="O11" s="59"/>
      <c r="P11" s="48"/>
      <c r="Q11" s="45"/>
      <c r="R11" s="4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131"/>
      <c r="B12" s="131"/>
      <c r="C12" s="131"/>
      <c r="D12" s="2"/>
      <c r="E12" s="2"/>
      <c r="F12" s="2"/>
      <c r="G12" s="2"/>
      <c r="H12" s="2"/>
      <c r="I12" s="46"/>
      <c r="J12" s="56"/>
      <c r="K12" s="57"/>
      <c r="L12" s="57"/>
      <c r="M12" s="57"/>
      <c r="N12" s="57"/>
      <c r="O12" s="59"/>
      <c r="P12" s="48"/>
      <c r="Q12" s="45"/>
      <c r="R12" s="4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131"/>
      <c r="B13" s="131"/>
      <c r="C13" s="131"/>
      <c r="D13" s="2"/>
      <c r="E13" s="2"/>
      <c r="F13" s="2"/>
      <c r="G13" s="2"/>
      <c r="H13" s="2"/>
      <c r="I13" s="46"/>
      <c r="J13" s="56"/>
      <c r="K13" s="57"/>
      <c r="L13" s="57"/>
      <c r="M13" s="57"/>
      <c r="N13" s="57"/>
      <c r="O13" s="59"/>
      <c r="P13" s="48"/>
      <c r="Q13" s="45"/>
      <c r="R13" s="4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131"/>
      <c r="B14" s="131"/>
      <c r="C14" s="131"/>
      <c r="D14" s="2"/>
      <c r="E14" s="2"/>
      <c r="F14" s="2"/>
      <c r="G14" s="2"/>
      <c r="H14" s="2"/>
      <c r="I14" s="46"/>
      <c r="J14" s="42"/>
      <c r="K14" s="60"/>
      <c r="L14" s="61"/>
      <c r="M14" s="42"/>
      <c r="N14" s="42"/>
      <c r="O14" s="62"/>
      <c r="P14" s="6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132"/>
      <c r="B15" s="132"/>
      <c r="C15" s="132"/>
      <c r="D15" s="2"/>
      <c r="E15" s="2"/>
      <c r="F15" s="2"/>
      <c r="G15" s="2"/>
      <c r="H15" s="2"/>
      <c r="I15" s="40"/>
      <c r="J15" s="40"/>
      <c r="K15" s="40"/>
      <c r="L15" s="40"/>
      <c r="M15" s="40"/>
      <c r="N15" s="40"/>
      <c r="O15" s="4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132"/>
      <c r="B16" s="132"/>
      <c r="C16" s="132"/>
      <c r="D16" s="135"/>
      <c r="E16" s="135"/>
      <c r="F16" s="135"/>
      <c r="G16" s="135"/>
      <c r="H16" s="135"/>
      <c r="I16" s="135"/>
      <c r="J16" s="64"/>
      <c r="K16" s="45"/>
      <c r="L16" s="135"/>
      <c r="M16" s="135"/>
      <c r="N16" s="135"/>
      <c r="O16" s="64"/>
      <c r="P16" s="64"/>
      <c r="Q16" s="64"/>
      <c r="R16" s="6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132"/>
      <c r="B17" s="132"/>
      <c r="C17" s="132"/>
      <c r="D17" s="2"/>
      <c r="E17" s="2"/>
      <c r="F17" s="2"/>
      <c r="G17" s="65"/>
      <c r="H17" s="65"/>
      <c r="I17" s="65"/>
      <c r="J17" s="6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2"/>
      <c r="B18" s="2"/>
      <c r="C18" s="63"/>
      <c r="D18" s="2"/>
      <c r="E18" s="2"/>
      <c r="F18" s="2"/>
      <c r="G18" s="6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67" t="s">
        <v>256</v>
      </c>
      <c r="B19" s="68" t="s">
        <v>257</v>
      </c>
      <c r="C19" s="69"/>
      <c r="D19" s="70"/>
      <c r="E19" s="70"/>
      <c r="F19" s="70"/>
      <c r="G19" s="71"/>
      <c r="H19" s="70"/>
      <c r="I19" s="70"/>
      <c r="J19" s="71"/>
      <c r="K19" s="70"/>
      <c r="L19" s="2"/>
      <c r="M19" s="2"/>
      <c r="N19" s="93"/>
      <c r="O19" s="93"/>
      <c r="P19" s="93"/>
      <c r="Q19" s="9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72"/>
      <c r="B20" s="130" t="s">
        <v>309</v>
      </c>
      <c r="C20" s="130"/>
      <c r="D20" s="130"/>
      <c r="E20" s="130"/>
      <c r="F20" s="130"/>
      <c r="G20" s="130"/>
      <c r="H20" s="130"/>
      <c r="I20" s="130"/>
      <c r="J20" s="130"/>
      <c r="K20" s="1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73.5" customHeight="1">
      <c r="A21" s="72"/>
      <c r="B21" s="128" t="s">
        <v>310</v>
      </c>
      <c r="C21" s="128"/>
      <c r="D21" s="128"/>
      <c r="E21" s="128"/>
      <c r="F21" s="128"/>
      <c r="G21" s="128"/>
      <c r="H21" s="128"/>
      <c r="I21" s="128"/>
      <c r="J21" s="128"/>
      <c r="K21" s="12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2"/>
      <c r="B22" s="2"/>
      <c r="C22" s="7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2"/>
      <c r="B23" s="2"/>
      <c r="C23" s="7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41" ht="12.75">
      <c r="A24" s="2"/>
      <c r="B24" s="2"/>
      <c r="C24" s="129" t="s">
        <v>302</v>
      </c>
      <c r="D24" s="129"/>
      <c r="E24" s="129"/>
      <c r="F24" s="129"/>
      <c r="G24" s="129"/>
      <c r="H24" s="129"/>
      <c r="I24" s="129"/>
      <c r="J24" s="2"/>
      <c r="K24" s="127" t="s">
        <v>303</v>
      </c>
      <c r="L24" s="127"/>
      <c r="M24" s="127"/>
      <c r="N24" s="127"/>
      <c r="O24" s="127"/>
      <c r="P24" s="127"/>
      <c r="Q24" s="127"/>
      <c r="R24" s="127" t="s">
        <v>304</v>
      </c>
      <c r="S24" s="127"/>
      <c r="T24" s="127"/>
      <c r="U24" s="127"/>
      <c r="V24" s="127"/>
      <c r="W24" s="127"/>
      <c r="X24" s="127"/>
      <c r="Y24" s="127"/>
      <c r="Z24" s="127"/>
      <c r="AA24" s="127" t="s">
        <v>305</v>
      </c>
      <c r="AB24" s="127"/>
      <c r="AC24" s="127"/>
      <c r="AD24" s="127"/>
      <c r="AE24" s="127"/>
      <c r="AF24" s="126" t="s">
        <v>306</v>
      </c>
      <c r="AG24" s="126"/>
      <c r="AK24" s="127" t="s">
        <v>307</v>
      </c>
      <c r="AL24" s="127"/>
      <c r="AM24" s="127"/>
      <c r="AN24" s="127"/>
      <c r="AO24" s="127"/>
    </row>
    <row r="25" spans="1:42" ht="12.75">
      <c r="A25" s="2"/>
      <c r="B25" s="74" t="s">
        <v>286</v>
      </c>
      <c r="C25" s="94" t="s">
        <v>260</v>
      </c>
      <c r="D25" s="95" t="s">
        <v>259</v>
      </c>
      <c r="E25" s="95" t="s">
        <v>262</v>
      </c>
      <c r="F25" s="95" t="s">
        <v>291</v>
      </c>
      <c r="G25" s="95" t="s">
        <v>258</v>
      </c>
      <c r="H25" s="95" t="s">
        <v>287</v>
      </c>
      <c r="I25" s="96" t="s">
        <v>292</v>
      </c>
      <c r="J25" s="108" t="s">
        <v>261</v>
      </c>
      <c r="K25" s="94" t="s">
        <v>264</v>
      </c>
      <c r="L25" s="95" t="s">
        <v>263</v>
      </c>
      <c r="M25" s="95" t="s">
        <v>265</v>
      </c>
      <c r="N25" s="95" t="s">
        <v>291</v>
      </c>
      <c r="O25" s="95" t="s">
        <v>288</v>
      </c>
      <c r="P25" s="95" t="s">
        <v>287</v>
      </c>
      <c r="Q25" s="96" t="s">
        <v>292</v>
      </c>
      <c r="R25" s="94" t="s">
        <v>272</v>
      </c>
      <c r="S25" s="95" t="s">
        <v>290</v>
      </c>
      <c r="T25" s="95" t="s">
        <v>289</v>
      </c>
      <c r="U25" s="95" t="s">
        <v>269</v>
      </c>
      <c r="V25" s="95" t="s">
        <v>266</v>
      </c>
      <c r="W25" s="95" t="s">
        <v>270</v>
      </c>
      <c r="X25" s="95" t="s">
        <v>271</v>
      </c>
      <c r="Y25" s="95" t="s">
        <v>267</v>
      </c>
      <c r="Z25" s="112" t="s">
        <v>268</v>
      </c>
      <c r="AA25" s="94" t="s">
        <v>273</v>
      </c>
      <c r="AB25" s="95" t="s">
        <v>293</v>
      </c>
      <c r="AC25" s="95" t="s">
        <v>295</v>
      </c>
      <c r="AD25" s="95" t="s">
        <v>294</v>
      </c>
      <c r="AE25" s="112" t="s">
        <v>296</v>
      </c>
      <c r="AF25" s="94" t="s">
        <v>274</v>
      </c>
      <c r="AG25" s="112" t="s">
        <v>275</v>
      </c>
      <c r="AH25" s="94" t="s">
        <v>276</v>
      </c>
      <c r="AI25" s="95" t="s">
        <v>277</v>
      </c>
      <c r="AJ25" s="112" t="s">
        <v>297</v>
      </c>
      <c r="AK25" s="94" t="s">
        <v>278</v>
      </c>
      <c r="AL25" s="95" t="s">
        <v>279</v>
      </c>
      <c r="AM25" s="95" t="s">
        <v>298</v>
      </c>
      <c r="AN25" s="95" t="s">
        <v>299</v>
      </c>
      <c r="AO25" s="112" t="s">
        <v>280</v>
      </c>
      <c r="AP25" s="108" t="s">
        <v>281</v>
      </c>
    </row>
    <row r="26" spans="1:43" ht="12.75">
      <c r="A26" s="2"/>
      <c r="B26" s="74" t="s">
        <v>179</v>
      </c>
      <c r="C26" s="97" t="s">
        <v>178</v>
      </c>
      <c r="D26" s="98" t="s">
        <v>179</v>
      </c>
      <c r="E26" s="98" t="s">
        <v>179</v>
      </c>
      <c r="F26" s="98" t="s">
        <v>179</v>
      </c>
      <c r="G26" s="98" t="s">
        <v>179</v>
      </c>
      <c r="H26" s="98" t="s">
        <v>282</v>
      </c>
      <c r="I26" s="99" t="s">
        <v>11</v>
      </c>
      <c r="J26" s="109" t="s">
        <v>179</v>
      </c>
      <c r="K26" s="97" t="s">
        <v>178</v>
      </c>
      <c r="L26" s="98" t="s">
        <v>179</v>
      </c>
      <c r="M26" s="98" t="s">
        <v>179</v>
      </c>
      <c r="N26" s="98" t="s">
        <v>179</v>
      </c>
      <c r="O26" s="98" t="s">
        <v>179</v>
      </c>
      <c r="P26" s="98" t="s">
        <v>282</v>
      </c>
      <c r="Q26" s="99" t="s">
        <v>11</v>
      </c>
      <c r="R26" s="113" t="s">
        <v>171</v>
      </c>
      <c r="S26" s="98" t="s">
        <v>171</v>
      </c>
      <c r="T26" s="98" t="s">
        <v>171</v>
      </c>
      <c r="U26" s="98" t="s">
        <v>171</v>
      </c>
      <c r="V26" s="98" t="s">
        <v>171</v>
      </c>
      <c r="W26" s="98" t="s">
        <v>171</v>
      </c>
      <c r="X26" s="98" t="s">
        <v>171</v>
      </c>
      <c r="Y26" s="98" t="s">
        <v>171</v>
      </c>
      <c r="Z26" s="114" t="s">
        <v>171</v>
      </c>
      <c r="AA26" s="97" t="s">
        <v>282</v>
      </c>
      <c r="AB26" s="98" t="s">
        <v>171</v>
      </c>
      <c r="AC26" s="98" t="s">
        <v>282</v>
      </c>
      <c r="AD26" s="98" t="s">
        <v>282</v>
      </c>
      <c r="AE26" s="114" t="s">
        <v>282</v>
      </c>
      <c r="AF26" s="97" t="s">
        <v>283</v>
      </c>
      <c r="AG26" s="114" t="s">
        <v>283</v>
      </c>
      <c r="AH26" s="97" t="s">
        <v>284</v>
      </c>
      <c r="AI26" s="98" t="s">
        <v>284</v>
      </c>
      <c r="AJ26" s="114" t="s">
        <v>284</v>
      </c>
      <c r="AK26" s="97" t="s">
        <v>285</v>
      </c>
      <c r="AL26" s="98" t="s">
        <v>285</v>
      </c>
      <c r="AM26" s="98" t="s">
        <v>285</v>
      </c>
      <c r="AN26" s="98" t="s">
        <v>285</v>
      </c>
      <c r="AO26" s="114" t="s">
        <v>285</v>
      </c>
      <c r="AP26" s="121" t="s">
        <v>208</v>
      </c>
      <c r="AQ26" s="89"/>
    </row>
    <row r="27" spans="1:42" ht="12.75">
      <c r="A27" s="2"/>
      <c r="B27" s="49">
        <v>40</v>
      </c>
      <c r="C27" s="100"/>
      <c r="D27" s="101"/>
      <c r="E27" s="101"/>
      <c r="F27" s="101"/>
      <c r="G27" s="101"/>
      <c r="H27" s="102"/>
      <c r="I27" s="103"/>
      <c r="J27" s="110"/>
      <c r="K27" s="100"/>
      <c r="L27" s="101"/>
      <c r="M27" s="101"/>
      <c r="N27" s="101"/>
      <c r="O27" s="101"/>
      <c r="P27" s="101"/>
      <c r="Q27" s="103"/>
      <c r="R27" s="100"/>
      <c r="S27" s="101"/>
      <c r="T27" s="101"/>
      <c r="U27" s="101"/>
      <c r="V27" s="101"/>
      <c r="W27" s="101"/>
      <c r="X27" s="101"/>
      <c r="Y27" s="101"/>
      <c r="Z27" s="103"/>
      <c r="AA27" s="115"/>
      <c r="AB27" s="116"/>
      <c r="AC27" s="116"/>
      <c r="AD27" s="116"/>
      <c r="AE27" s="117"/>
      <c r="AF27" s="100"/>
      <c r="AG27" s="103"/>
      <c r="AH27" s="100"/>
      <c r="AI27" s="101"/>
      <c r="AJ27" s="117"/>
      <c r="AK27" s="100"/>
      <c r="AL27" s="101"/>
      <c r="AM27" s="101"/>
      <c r="AN27" s="101"/>
      <c r="AO27" s="103"/>
      <c r="AP27" s="122"/>
    </row>
    <row r="28" spans="1:42" ht="12.75">
      <c r="A28" s="2"/>
      <c r="B28" s="49">
        <v>45</v>
      </c>
      <c r="C28" s="100"/>
      <c r="D28" s="101"/>
      <c r="E28" s="101"/>
      <c r="F28" s="101"/>
      <c r="G28" s="101"/>
      <c r="H28" s="102"/>
      <c r="I28" s="103"/>
      <c r="J28" s="110"/>
      <c r="K28" s="100"/>
      <c r="L28" s="101"/>
      <c r="M28" s="101"/>
      <c r="N28" s="101"/>
      <c r="O28" s="101"/>
      <c r="P28" s="101"/>
      <c r="Q28" s="103"/>
      <c r="R28" s="100"/>
      <c r="S28" s="101"/>
      <c r="T28" s="101"/>
      <c r="U28" s="101"/>
      <c r="V28" s="101"/>
      <c r="W28" s="101"/>
      <c r="X28" s="101"/>
      <c r="Y28" s="101"/>
      <c r="Z28" s="103"/>
      <c r="AA28" s="115"/>
      <c r="AB28" s="116"/>
      <c r="AC28" s="116"/>
      <c r="AD28" s="116"/>
      <c r="AE28" s="117"/>
      <c r="AF28" s="100"/>
      <c r="AG28" s="103"/>
      <c r="AH28" s="100"/>
      <c r="AI28" s="101"/>
      <c r="AJ28" s="117"/>
      <c r="AK28" s="100"/>
      <c r="AL28" s="101"/>
      <c r="AM28" s="101"/>
      <c r="AN28" s="101"/>
      <c r="AO28" s="103"/>
      <c r="AP28" s="122"/>
    </row>
    <row r="29" spans="1:42" ht="12.75">
      <c r="A29" s="2"/>
      <c r="B29" s="49">
        <v>50</v>
      </c>
      <c r="C29" s="100"/>
      <c r="D29" s="101"/>
      <c r="E29" s="101"/>
      <c r="F29" s="101"/>
      <c r="G29" s="101"/>
      <c r="H29" s="102"/>
      <c r="I29" s="103"/>
      <c r="J29" s="110"/>
      <c r="K29" s="100"/>
      <c r="L29" s="101"/>
      <c r="M29" s="101"/>
      <c r="N29" s="101"/>
      <c r="O29" s="101"/>
      <c r="P29" s="101"/>
      <c r="Q29" s="103"/>
      <c r="R29" s="100"/>
      <c r="S29" s="101"/>
      <c r="T29" s="101"/>
      <c r="U29" s="101"/>
      <c r="V29" s="101"/>
      <c r="W29" s="101"/>
      <c r="X29" s="101"/>
      <c r="Y29" s="101"/>
      <c r="Z29" s="103"/>
      <c r="AA29" s="115"/>
      <c r="AB29" s="116"/>
      <c r="AC29" s="116"/>
      <c r="AD29" s="116"/>
      <c r="AE29" s="117"/>
      <c r="AF29" s="100"/>
      <c r="AG29" s="103"/>
      <c r="AH29" s="100"/>
      <c r="AI29" s="101"/>
      <c r="AJ29" s="117"/>
      <c r="AK29" s="100"/>
      <c r="AL29" s="101"/>
      <c r="AM29" s="101"/>
      <c r="AN29" s="101"/>
      <c r="AO29" s="103"/>
      <c r="AP29" s="122"/>
    </row>
    <row r="30" spans="1:42" ht="12.75">
      <c r="A30" s="2"/>
      <c r="B30" s="49">
        <v>55</v>
      </c>
      <c r="C30" s="100"/>
      <c r="D30" s="101"/>
      <c r="E30" s="101"/>
      <c r="F30" s="101"/>
      <c r="G30" s="101"/>
      <c r="H30" s="102"/>
      <c r="I30" s="103"/>
      <c r="J30" s="110"/>
      <c r="K30" s="100"/>
      <c r="L30" s="101"/>
      <c r="M30" s="101"/>
      <c r="N30" s="101"/>
      <c r="O30" s="101"/>
      <c r="P30" s="101"/>
      <c r="Q30" s="103"/>
      <c r="R30" s="100"/>
      <c r="S30" s="101"/>
      <c r="T30" s="101"/>
      <c r="U30" s="101"/>
      <c r="V30" s="101"/>
      <c r="W30" s="101"/>
      <c r="X30" s="101"/>
      <c r="Y30" s="101"/>
      <c r="Z30" s="103"/>
      <c r="AA30" s="115"/>
      <c r="AB30" s="116"/>
      <c r="AC30" s="116"/>
      <c r="AD30" s="116"/>
      <c r="AE30" s="117"/>
      <c r="AF30" s="100"/>
      <c r="AG30" s="103"/>
      <c r="AH30" s="100"/>
      <c r="AI30" s="101"/>
      <c r="AJ30" s="117"/>
      <c r="AK30" s="100"/>
      <c r="AL30" s="101"/>
      <c r="AM30" s="101"/>
      <c r="AN30" s="101"/>
      <c r="AO30" s="103"/>
      <c r="AP30" s="122"/>
    </row>
    <row r="31" spans="1:42" ht="12.75">
      <c r="A31" s="2"/>
      <c r="B31" s="49">
        <v>60</v>
      </c>
      <c r="C31" s="100"/>
      <c r="D31" s="101"/>
      <c r="E31" s="101"/>
      <c r="F31" s="101"/>
      <c r="G31" s="101"/>
      <c r="H31" s="102"/>
      <c r="I31" s="103"/>
      <c r="J31" s="110"/>
      <c r="K31" s="100"/>
      <c r="L31" s="101"/>
      <c r="M31" s="101"/>
      <c r="N31" s="101"/>
      <c r="O31" s="101"/>
      <c r="P31" s="101"/>
      <c r="Q31" s="103"/>
      <c r="R31" s="100"/>
      <c r="S31" s="101"/>
      <c r="T31" s="101"/>
      <c r="U31" s="101"/>
      <c r="V31" s="101"/>
      <c r="W31" s="101"/>
      <c r="X31" s="101"/>
      <c r="Y31" s="101"/>
      <c r="Z31" s="103"/>
      <c r="AA31" s="115"/>
      <c r="AB31" s="116"/>
      <c r="AC31" s="116"/>
      <c r="AD31" s="116"/>
      <c r="AE31" s="117"/>
      <c r="AF31" s="100"/>
      <c r="AG31" s="103"/>
      <c r="AH31" s="100"/>
      <c r="AI31" s="101"/>
      <c r="AJ31" s="117"/>
      <c r="AK31" s="100"/>
      <c r="AL31" s="101"/>
      <c r="AM31" s="101"/>
      <c r="AN31" s="101"/>
      <c r="AO31" s="103"/>
      <c r="AP31" s="122"/>
    </row>
    <row r="32" spans="1:42" ht="12.75">
      <c r="A32" s="2"/>
      <c r="B32" s="49">
        <v>65</v>
      </c>
      <c r="C32" s="100"/>
      <c r="D32" s="101"/>
      <c r="E32" s="101"/>
      <c r="F32" s="101"/>
      <c r="G32" s="101"/>
      <c r="H32" s="102"/>
      <c r="I32" s="103"/>
      <c r="J32" s="110"/>
      <c r="K32" s="100"/>
      <c r="L32" s="101"/>
      <c r="M32" s="101"/>
      <c r="N32" s="101"/>
      <c r="O32" s="101"/>
      <c r="P32" s="101"/>
      <c r="Q32" s="103"/>
      <c r="R32" s="100"/>
      <c r="S32" s="101"/>
      <c r="T32" s="101"/>
      <c r="U32" s="101"/>
      <c r="V32" s="101"/>
      <c r="W32" s="101"/>
      <c r="X32" s="101"/>
      <c r="Y32" s="101"/>
      <c r="Z32" s="103"/>
      <c r="AA32" s="115"/>
      <c r="AB32" s="116"/>
      <c r="AC32" s="116"/>
      <c r="AD32" s="116"/>
      <c r="AE32" s="117"/>
      <c r="AF32" s="100"/>
      <c r="AG32" s="103"/>
      <c r="AH32" s="100"/>
      <c r="AI32" s="101"/>
      <c r="AJ32" s="117"/>
      <c r="AK32" s="100"/>
      <c r="AL32" s="101"/>
      <c r="AM32" s="101"/>
      <c r="AN32" s="101"/>
      <c r="AO32" s="103"/>
      <c r="AP32" s="122"/>
    </row>
    <row r="33" spans="1:42" ht="12.75">
      <c r="A33" s="2"/>
      <c r="B33" s="49">
        <v>70</v>
      </c>
      <c r="C33" s="100"/>
      <c r="D33" s="101"/>
      <c r="E33" s="101"/>
      <c r="F33" s="101"/>
      <c r="G33" s="101"/>
      <c r="H33" s="102"/>
      <c r="I33" s="103"/>
      <c r="J33" s="110"/>
      <c r="K33" s="100"/>
      <c r="L33" s="101"/>
      <c r="M33" s="101"/>
      <c r="N33" s="101"/>
      <c r="O33" s="101"/>
      <c r="P33" s="101"/>
      <c r="Q33" s="103"/>
      <c r="R33" s="100"/>
      <c r="S33" s="101"/>
      <c r="T33" s="101"/>
      <c r="U33" s="101"/>
      <c r="V33" s="101"/>
      <c r="W33" s="101"/>
      <c r="X33" s="101"/>
      <c r="Y33" s="101"/>
      <c r="Z33" s="103"/>
      <c r="AA33" s="115"/>
      <c r="AB33" s="116"/>
      <c r="AC33" s="116"/>
      <c r="AD33" s="116"/>
      <c r="AE33" s="117"/>
      <c r="AF33" s="100"/>
      <c r="AG33" s="103"/>
      <c r="AH33" s="100"/>
      <c r="AI33" s="101"/>
      <c r="AJ33" s="117"/>
      <c r="AK33" s="100"/>
      <c r="AL33" s="101"/>
      <c r="AM33" s="101"/>
      <c r="AN33" s="101"/>
      <c r="AO33" s="103"/>
      <c r="AP33" s="122"/>
    </row>
    <row r="34" spans="1:42" ht="12.75">
      <c r="A34" s="2"/>
      <c r="B34" s="49">
        <v>75</v>
      </c>
      <c r="C34" s="100"/>
      <c r="D34" s="101"/>
      <c r="E34" s="101"/>
      <c r="F34" s="101"/>
      <c r="G34" s="101"/>
      <c r="H34" s="102"/>
      <c r="I34" s="103"/>
      <c r="J34" s="110"/>
      <c r="K34" s="100"/>
      <c r="L34" s="101"/>
      <c r="M34" s="101"/>
      <c r="N34" s="101"/>
      <c r="O34" s="101"/>
      <c r="P34" s="101"/>
      <c r="Q34" s="103"/>
      <c r="R34" s="100"/>
      <c r="S34" s="101"/>
      <c r="T34" s="101"/>
      <c r="U34" s="101"/>
      <c r="V34" s="101"/>
      <c r="W34" s="101"/>
      <c r="X34" s="101"/>
      <c r="Y34" s="101"/>
      <c r="Z34" s="103"/>
      <c r="AA34" s="115"/>
      <c r="AB34" s="116"/>
      <c r="AC34" s="116"/>
      <c r="AD34" s="116"/>
      <c r="AE34" s="117"/>
      <c r="AF34" s="100"/>
      <c r="AG34" s="103"/>
      <c r="AH34" s="100"/>
      <c r="AI34" s="101"/>
      <c r="AJ34" s="117"/>
      <c r="AK34" s="100"/>
      <c r="AL34" s="101"/>
      <c r="AM34" s="101"/>
      <c r="AN34" s="101"/>
      <c r="AO34" s="103"/>
      <c r="AP34" s="122"/>
    </row>
    <row r="35" spans="1:42" ht="12.75">
      <c r="A35" s="2"/>
      <c r="B35" s="49">
        <v>80</v>
      </c>
      <c r="C35" s="100"/>
      <c r="D35" s="101"/>
      <c r="E35" s="101"/>
      <c r="F35" s="101"/>
      <c r="G35" s="101"/>
      <c r="H35" s="102"/>
      <c r="I35" s="103"/>
      <c r="J35" s="110"/>
      <c r="K35" s="100"/>
      <c r="L35" s="101"/>
      <c r="M35" s="101"/>
      <c r="N35" s="101"/>
      <c r="O35" s="101"/>
      <c r="P35" s="101"/>
      <c r="Q35" s="103"/>
      <c r="R35" s="100"/>
      <c r="S35" s="101"/>
      <c r="T35" s="101"/>
      <c r="U35" s="101"/>
      <c r="V35" s="101"/>
      <c r="W35" s="101"/>
      <c r="X35" s="101"/>
      <c r="Y35" s="101"/>
      <c r="Z35" s="103"/>
      <c r="AA35" s="115"/>
      <c r="AB35" s="116"/>
      <c r="AC35" s="116"/>
      <c r="AD35" s="116"/>
      <c r="AE35" s="117"/>
      <c r="AF35" s="100"/>
      <c r="AG35" s="103"/>
      <c r="AH35" s="100"/>
      <c r="AI35" s="101"/>
      <c r="AJ35" s="117"/>
      <c r="AK35" s="100"/>
      <c r="AL35" s="101"/>
      <c r="AM35" s="101"/>
      <c r="AN35" s="101"/>
      <c r="AO35" s="103"/>
      <c r="AP35" s="122"/>
    </row>
    <row r="36" spans="1:42" ht="12.75">
      <c r="A36" s="2"/>
      <c r="B36" s="49">
        <v>85</v>
      </c>
      <c r="C36" s="100"/>
      <c r="D36" s="101"/>
      <c r="E36" s="101"/>
      <c r="F36" s="101"/>
      <c r="G36" s="101"/>
      <c r="H36" s="102"/>
      <c r="I36" s="103"/>
      <c r="J36" s="110"/>
      <c r="K36" s="100"/>
      <c r="L36" s="101"/>
      <c r="M36" s="101"/>
      <c r="N36" s="101"/>
      <c r="O36" s="101"/>
      <c r="P36" s="101"/>
      <c r="Q36" s="103"/>
      <c r="R36" s="100"/>
      <c r="S36" s="101"/>
      <c r="T36" s="101"/>
      <c r="U36" s="101"/>
      <c r="V36" s="101"/>
      <c r="W36" s="101"/>
      <c r="X36" s="101"/>
      <c r="Y36" s="101"/>
      <c r="Z36" s="103"/>
      <c r="AA36" s="115"/>
      <c r="AB36" s="116"/>
      <c r="AC36" s="116"/>
      <c r="AD36" s="116"/>
      <c r="AE36" s="117"/>
      <c r="AF36" s="100"/>
      <c r="AG36" s="103"/>
      <c r="AH36" s="100"/>
      <c r="AI36" s="101"/>
      <c r="AJ36" s="117"/>
      <c r="AK36" s="100"/>
      <c r="AL36" s="101"/>
      <c r="AM36" s="101"/>
      <c r="AN36" s="101"/>
      <c r="AO36" s="103"/>
      <c r="AP36" s="122"/>
    </row>
    <row r="37" spans="1:42" ht="12.75">
      <c r="A37" s="2"/>
      <c r="B37" s="49">
        <v>90</v>
      </c>
      <c r="C37" s="100"/>
      <c r="D37" s="101"/>
      <c r="E37" s="101"/>
      <c r="F37" s="101"/>
      <c r="G37" s="101"/>
      <c r="H37" s="102"/>
      <c r="I37" s="103"/>
      <c r="J37" s="110"/>
      <c r="K37" s="100"/>
      <c r="L37" s="101"/>
      <c r="M37" s="101"/>
      <c r="N37" s="101"/>
      <c r="O37" s="101"/>
      <c r="P37" s="101"/>
      <c r="Q37" s="103"/>
      <c r="R37" s="100"/>
      <c r="S37" s="101"/>
      <c r="T37" s="101"/>
      <c r="U37" s="101"/>
      <c r="V37" s="101"/>
      <c r="W37" s="101"/>
      <c r="X37" s="101"/>
      <c r="Y37" s="101"/>
      <c r="Z37" s="103"/>
      <c r="AA37" s="115"/>
      <c r="AB37" s="116"/>
      <c r="AC37" s="116"/>
      <c r="AD37" s="116"/>
      <c r="AE37" s="117"/>
      <c r="AF37" s="100"/>
      <c r="AG37" s="103"/>
      <c r="AH37" s="100"/>
      <c r="AI37" s="101"/>
      <c r="AJ37" s="117"/>
      <c r="AK37" s="100"/>
      <c r="AL37" s="101"/>
      <c r="AM37" s="101"/>
      <c r="AN37" s="101"/>
      <c r="AO37" s="103"/>
      <c r="AP37" s="122"/>
    </row>
    <row r="38" spans="1:42" ht="12.75">
      <c r="A38" s="2"/>
      <c r="B38" s="49">
        <v>95</v>
      </c>
      <c r="C38" s="100"/>
      <c r="D38" s="101"/>
      <c r="E38" s="101"/>
      <c r="F38" s="101"/>
      <c r="G38" s="101"/>
      <c r="H38" s="102"/>
      <c r="I38" s="103"/>
      <c r="J38" s="110"/>
      <c r="K38" s="100"/>
      <c r="L38" s="101"/>
      <c r="M38" s="101"/>
      <c r="N38" s="101"/>
      <c r="O38" s="101"/>
      <c r="P38" s="101"/>
      <c r="Q38" s="103"/>
      <c r="R38" s="100"/>
      <c r="S38" s="101"/>
      <c r="T38" s="101"/>
      <c r="U38" s="101"/>
      <c r="V38" s="101"/>
      <c r="W38" s="101"/>
      <c r="X38" s="101"/>
      <c r="Y38" s="101"/>
      <c r="Z38" s="103"/>
      <c r="AA38" s="115"/>
      <c r="AB38" s="116"/>
      <c r="AC38" s="116"/>
      <c r="AD38" s="116"/>
      <c r="AE38" s="117"/>
      <c r="AF38" s="100"/>
      <c r="AG38" s="103"/>
      <c r="AH38" s="100"/>
      <c r="AI38" s="101"/>
      <c r="AJ38" s="117"/>
      <c r="AK38" s="100"/>
      <c r="AL38" s="101"/>
      <c r="AM38" s="101"/>
      <c r="AN38" s="101"/>
      <c r="AO38" s="103"/>
      <c r="AP38" s="122"/>
    </row>
    <row r="39" spans="1:42" ht="12.75">
      <c r="A39" s="2"/>
      <c r="B39" s="49">
        <v>100</v>
      </c>
      <c r="C39" s="100"/>
      <c r="D39" s="101"/>
      <c r="E39" s="101"/>
      <c r="F39" s="101"/>
      <c r="G39" s="101"/>
      <c r="H39" s="102"/>
      <c r="I39" s="103"/>
      <c r="J39" s="110"/>
      <c r="K39" s="100"/>
      <c r="L39" s="101"/>
      <c r="M39" s="101"/>
      <c r="N39" s="101"/>
      <c r="O39" s="101"/>
      <c r="P39" s="101"/>
      <c r="Q39" s="103"/>
      <c r="R39" s="100"/>
      <c r="S39" s="101"/>
      <c r="T39" s="101"/>
      <c r="U39" s="101"/>
      <c r="V39" s="101"/>
      <c r="W39" s="101"/>
      <c r="X39" s="101"/>
      <c r="Y39" s="101"/>
      <c r="Z39" s="103"/>
      <c r="AA39" s="115"/>
      <c r="AB39" s="116"/>
      <c r="AC39" s="116"/>
      <c r="AD39" s="116"/>
      <c r="AE39" s="117"/>
      <c r="AF39" s="100"/>
      <c r="AG39" s="103"/>
      <c r="AH39" s="100"/>
      <c r="AI39" s="101"/>
      <c r="AJ39" s="117"/>
      <c r="AK39" s="100"/>
      <c r="AL39" s="101"/>
      <c r="AM39" s="101"/>
      <c r="AN39" s="101"/>
      <c r="AO39" s="103"/>
      <c r="AP39" s="122"/>
    </row>
    <row r="40" spans="1:42" ht="12.75">
      <c r="A40" s="2"/>
      <c r="B40" s="49">
        <v>105</v>
      </c>
      <c r="C40" s="100"/>
      <c r="D40" s="101"/>
      <c r="E40" s="101"/>
      <c r="F40" s="101"/>
      <c r="G40" s="101"/>
      <c r="H40" s="102"/>
      <c r="I40" s="103"/>
      <c r="J40" s="110"/>
      <c r="K40" s="100"/>
      <c r="L40" s="101"/>
      <c r="M40" s="101"/>
      <c r="N40" s="101"/>
      <c r="O40" s="101"/>
      <c r="P40" s="101"/>
      <c r="Q40" s="103"/>
      <c r="R40" s="100"/>
      <c r="S40" s="101"/>
      <c r="T40" s="101"/>
      <c r="U40" s="101"/>
      <c r="V40" s="101"/>
      <c r="W40" s="101"/>
      <c r="X40" s="101"/>
      <c r="Y40" s="101"/>
      <c r="Z40" s="103"/>
      <c r="AA40" s="115"/>
      <c r="AB40" s="116"/>
      <c r="AC40" s="116"/>
      <c r="AD40" s="116"/>
      <c r="AE40" s="117"/>
      <c r="AF40" s="100"/>
      <c r="AG40" s="103"/>
      <c r="AH40" s="100"/>
      <c r="AI40" s="101"/>
      <c r="AJ40" s="117"/>
      <c r="AK40" s="100"/>
      <c r="AL40" s="101"/>
      <c r="AM40" s="101"/>
      <c r="AN40" s="101"/>
      <c r="AO40" s="103"/>
      <c r="AP40" s="122"/>
    </row>
    <row r="41" spans="1:42" ht="12.75">
      <c r="A41" s="2"/>
      <c r="B41" s="49">
        <v>110</v>
      </c>
      <c r="C41" s="100"/>
      <c r="D41" s="101"/>
      <c r="E41" s="101"/>
      <c r="F41" s="101"/>
      <c r="G41" s="101"/>
      <c r="H41" s="102"/>
      <c r="I41" s="103"/>
      <c r="J41" s="110"/>
      <c r="K41" s="100"/>
      <c r="L41" s="101"/>
      <c r="M41" s="101"/>
      <c r="N41" s="101"/>
      <c r="O41" s="101"/>
      <c r="P41" s="101"/>
      <c r="Q41" s="103"/>
      <c r="R41" s="100"/>
      <c r="S41" s="101"/>
      <c r="T41" s="101"/>
      <c r="U41" s="101"/>
      <c r="V41" s="101"/>
      <c r="W41" s="101"/>
      <c r="X41" s="101"/>
      <c r="Y41" s="101"/>
      <c r="Z41" s="103"/>
      <c r="AA41" s="115"/>
      <c r="AB41" s="116"/>
      <c r="AC41" s="116"/>
      <c r="AD41" s="116"/>
      <c r="AE41" s="117"/>
      <c r="AF41" s="100"/>
      <c r="AG41" s="103"/>
      <c r="AH41" s="100"/>
      <c r="AI41" s="101"/>
      <c r="AJ41" s="117"/>
      <c r="AK41" s="100"/>
      <c r="AL41" s="101"/>
      <c r="AM41" s="101"/>
      <c r="AN41" s="101"/>
      <c r="AO41" s="103"/>
      <c r="AP41" s="122"/>
    </row>
    <row r="42" spans="1:42" ht="12.75">
      <c r="A42" s="2"/>
      <c r="B42" s="49">
        <v>115</v>
      </c>
      <c r="C42" s="100"/>
      <c r="D42" s="101"/>
      <c r="E42" s="101"/>
      <c r="F42" s="101"/>
      <c r="G42" s="101"/>
      <c r="H42" s="102"/>
      <c r="I42" s="103"/>
      <c r="J42" s="110"/>
      <c r="K42" s="100"/>
      <c r="L42" s="101"/>
      <c r="M42" s="101"/>
      <c r="N42" s="101"/>
      <c r="O42" s="101"/>
      <c r="P42" s="101"/>
      <c r="Q42" s="103"/>
      <c r="R42" s="100"/>
      <c r="S42" s="101"/>
      <c r="T42" s="101"/>
      <c r="U42" s="101"/>
      <c r="V42" s="101"/>
      <c r="W42" s="101"/>
      <c r="X42" s="101"/>
      <c r="Y42" s="101"/>
      <c r="Z42" s="103"/>
      <c r="AA42" s="115"/>
      <c r="AB42" s="116"/>
      <c r="AC42" s="116"/>
      <c r="AD42" s="116"/>
      <c r="AE42" s="117"/>
      <c r="AF42" s="100"/>
      <c r="AG42" s="103"/>
      <c r="AH42" s="100"/>
      <c r="AI42" s="101"/>
      <c r="AJ42" s="117"/>
      <c r="AK42" s="100"/>
      <c r="AL42" s="101"/>
      <c r="AM42" s="101"/>
      <c r="AN42" s="101"/>
      <c r="AO42" s="103"/>
      <c r="AP42" s="122"/>
    </row>
    <row r="43" spans="1:42" ht="12.75">
      <c r="A43" s="2"/>
      <c r="B43" s="49">
        <v>120</v>
      </c>
      <c r="C43" s="100"/>
      <c r="D43" s="101"/>
      <c r="E43" s="101"/>
      <c r="F43" s="101"/>
      <c r="G43" s="101"/>
      <c r="H43" s="102"/>
      <c r="I43" s="103"/>
      <c r="J43" s="110"/>
      <c r="K43" s="100"/>
      <c r="L43" s="101"/>
      <c r="M43" s="101"/>
      <c r="N43" s="101"/>
      <c r="O43" s="101"/>
      <c r="P43" s="101"/>
      <c r="Q43" s="103"/>
      <c r="R43" s="100"/>
      <c r="S43" s="101"/>
      <c r="T43" s="101"/>
      <c r="U43" s="101"/>
      <c r="V43" s="101"/>
      <c r="W43" s="101"/>
      <c r="X43" s="101"/>
      <c r="Y43" s="101"/>
      <c r="Z43" s="103"/>
      <c r="AA43" s="115"/>
      <c r="AB43" s="116"/>
      <c r="AC43" s="116"/>
      <c r="AD43" s="116"/>
      <c r="AE43" s="117"/>
      <c r="AF43" s="100"/>
      <c r="AG43" s="103"/>
      <c r="AH43" s="100"/>
      <c r="AI43" s="101"/>
      <c r="AJ43" s="117"/>
      <c r="AK43" s="100"/>
      <c r="AL43" s="101"/>
      <c r="AM43" s="101"/>
      <c r="AN43" s="101"/>
      <c r="AO43" s="103"/>
      <c r="AP43" s="122"/>
    </row>
    <row r="44" spans="1:42" ht="12.75">
      <c r="A44" s="2"/>
      <c r="B44" s="49">
        <v>125</v>
      </c>
      <c r="C44" s="100"/>
      <c r="D44" s="101"/>
      <c r="E44" s="101"/>
      <c r="F44" s="101"/>
      <c r="G44" s="101"/>
      <c r="H44" s="102"/>
      <c r="I44" s="103"/>
      <c r="J44" s="110"/>
      <c r="K44" s="100"/>
      <c r="L44" s="101"/>
      <c r="M44" s="101"/>
      <c r="N44" s="101"/>
      <c r="O44" s="101"/>
      <c r="P44" s="101"/>
      <c r="Q44" s="103"/>
      <c r="R44" s="100"/>
      <c r="S44" s="101"/>
      <c r="T44" s="101"/>
      <c r="U44" s="101"/>
      <c r="V44" s="101"/>
      <c r="W44" s="101"/>
      <c r="X44" s="101"/>
      <c r="Y44" s="101"/>
      <c r="Z44" s="103"/>
      <c r="AA44" s="115"/>
      <c r="AB44" s="116"/>
      <c r="AC44" s="116"/>
      <c r="AD44" s="116"/>
      <c r="AE44" s="117"/>
      <c r="AF44" s="100"/>
      <c r="AG44" s="103"/>
      <c r="AH44" s="100"/>
      <c r="AI44" s="101"/>
      <c r="AJ44" s="117"/>
      <c r="AK44" s="100"/>
      <c r="AL44" s="101"/>
      <c r="AM44" s="101"/>
      <c r="AN44" s="101"/>
      <c r="AO44" s="103"/>
      <c r="AP44" s="122"/>
    </row>
    <row r="45" spans="1:42" ht="12.75">
      <c r="A45" s="2"/>
      <c r="B45" s="49">
        <v>130</v>
      </c>
      <c r="C45" s="100"/>
      <c r="D45" s="101"/>
      <c r="E45" s="101"/>
      <c r="F45" s="101"/>
      <c r="G45" s="101"/>
      <c r="H45" s="102"/>
      <c r="I45" s="103"/>
      <c r="J45" s="110"/>
      <c r="K45" s="100"/>
      <c r="L45" s="101"/>
      <c r="M45" s="101"/>
      <c r="N45" s="101"/>
      <c r="O45" s="101"/>
      <c r="P45" s="101"/>
      <c r="Q45" s="103"/>
      <c r="R45" s="100"/>
      <c r="S45" s="101"/>
      <c r="T45" s="101"/>
      <c r="U45" s="101"/>
      <c r="V45" s="101"/>
      <c r="W45" s="101"/>
      <c r="X45" s="101"/>
      <c r="Y45" s="101"/>
      <c r="Z45" s="103"/>
      <c r="AA45" s="115"/>
      <c r="AB45" s="116"/>
      <c r="AC45" s="116"/>
      <c r="AD45" s="116"/>
      <c r="AE45" s="117"/>
      <c r="AF45" s="100"/>
      <c r="AG45" s="103"/>
      <c r="AH45" s="100"/>
      <c r="AI45" s="101"/>
      <c r="AJ45" s="117"/>
      <c r="AK45" s="100"/>
      <c r="AL45" s="101"/>
      <c r="AM45" s="101"/>
      <c r="AN45" s="101"/>
      <c r="AO45" s="103"/>
      <c r="AP45" s="122"/>
    </row>
    <row r="46" spans="1:42" ht="12.75">
      <c r="A46" s="2"/>
      <c r="B46" s="49">
        <v>135</v>
      </c>
      <c r="C46" s="100"/>
      <c r="D46" s="101"/>
      <c r="E46" s="101"/>
      <c r="F46" s="101"/>
      <c r="G46" s="101"/>
      <c r="H46" s="102"/>
      <c r="I46" s="103"/>
      <c r="J46" s="110"/>
      <c r="K46" s="100"/>
      <c r="L46" s="101"/>
      <c r="M46" s="101"/>
      <c r="N46" s="101"/>
      <c r="O46" s="101"/>
      <c r="P46" s="101"/>
      <c r="Q46" s="103"/>
      <c r="R46" s="100"/>
      <c r="S46" s="101"/>
      <c r="T46" s="101"/>
      <c r="U46" s="101"/>
      <c r="V46" s="101"/>
      <c r="W46" s="101"/>
      <c r="X46" s="101"/>
      <c r="Y46" s="101"/>
      <c r="Z46" s="103"/>
      <c r="AA46" s="115"/>
      <c r="AB46" s="116"/>
      <c r="AC46" s="116"/>
      <c r="AD46" s="116"/>
      <c r="AE46" s="117"/>
      <c r="AF46" s="100"/>
      <c r="AG46" s="103"/>
      <c r="AH46" s="100"/>
      <c r="AI46" s="101"/>
      <c r="AJ46" s="117"/>
      <c r="AK46" s="100"/>
      <c r="AL46" s="101"/>
      <c r="AM46" s="101"/>
      <c r="AN46" s="101"/>
      <c r="AO46" s="103"/>
      <c r="AP46" s="122"/>
    </row>
    <row r="47" spans="1:42" ht="12.75">
      <c r="A47" s="2"/>
      <c r="B47" s="49">
        <v>140</v>
      </c>
      <c r="C47" s="100"/>
      <c r="D47" s="101"/>
      <c r="E47" s="101"/>
      <c r="F47" s="101"/>
      <c r="G47" s="101"/>
      <c r="H47" s="102"/>
      <c r="I47" s="103"/>
      <c r="J47" s="110"/>
      <c r="K47" s="100"/>
      <c r="L47" s="101"/>
      <c r="M47" s="101"/>
      <c r="N47" s="101"/>
      <c r="O47" s="101"/>
      <c r="P47" s="101"/>
      <c r="Q47" s="103"/>
      <c r="R47" s="100"/>
      <c r="S47" s="101"/>
      <c r="T47" s="101"/>
      <c r="U47" s="101"/>
      <c r="V47" s="101"/>
      <c r="W47" s="101"/>
      <c r="X47" s="101"/>
      <c r="Y47" s="101"/>
      <c r="Z47" s="103"/>
      <c r="AA47" s="115"/>
      <c r="AB47" s="116"/>
      <c r="AC47" s="116"/>
      <c r="AD47" s="116"/>
      <c r="AE47" s="117"/>
      <c r="AF47" s="100"/>
      <c r="AG47" s="103"/>
      <c r="AH47" s="100"/>
      <c r="AI47" s="101"/>
      <c r="AJ47" s="117"/>
      <c r="AK47" s="100"/>
      <c r="AL47" s="101"/>
      <c r="AM47" s="101"/>
      <c r="AN47" s="101"/>
      <c r="AO47" s="103"/>
      <c r="AP47" s="122"/>
    </row>
    <row r="48" spans="1:42" ht="12.75">
      <c r="A48" s="2"/>
      <c r="B48" s="49">
        <v>145</v>
      </c>
      <c r="C48" s="100"/>
      <c r="D48" s="101"/>
      <c r="E48" s="101"/>
      <c r="F48" s="101"/>
      <c r="G48" s="101"/>
      <c r="H48" s="102"/>
      <c r="I48" s="103"/>
      <c r="J48" s="110"/>
      <c r="K48" s="100"/>
      <c r="L48" s="101"/>
      <c r="M48" s="101"/>
      <c r="N48" s="101"/>
      <c r="O48" s="101"/>
      <c r="P48" s="101"/>
      <c r="Q48" s="103"/>
      <c r="R48" s="100"/>
      <c r="S48" s="101"/>
      <c r="T48" s="101"/>
      <c r="U48" s="101"/>
      <c r="V48" s="101"/>
      <c r="W48" s="101"/>
      <c r="X48" s="101"/>
      <c r="Y48" s="101"/>
      <c r="Z48" s="103"/>
      <c r="AA48" s="115"/>
      <c r="AB48" s="116"/>
      <c r="AC48" s="116"/>
      <c r="AD48" s="116"/>
      <c r="AE48" s="117"/>
      <c r="AF48" s="100"/>
      <c r="AG48" s="103"/>
      <c r="AH48" s="100"/>
      <c r="AI48" s="101"/>
      <c r="AJ48" s="117"/>
      <c r="AK48" s="100"/>
      <c r="AL48" s="101"/>
      <c r="AM48" s="101"/>
      <c r="AN48" s="101"/>
      <c r="AO48" s="103"/>
      <c r="AP48" s="122"/>
    </row>
    <row r="49" spans="1:42" ht="12.75">
      <c r="A49" s="2"/>
      <c r="B49" s="49">
        <v>150</v>
      </c>
      <c r="C49" s="100"/>
      <c r="D49" s="101"/>
      <c r="E49" s="101"/>
      <c r="F49" s="101"/>
      <c r="G49" s="101"/>
      <c r="H49" s="102"/>
      <c r="I49" s="103"/>
      <c r="J49" s="110"/>
      <c r="K49" s="100"/>
      <c r="L49" s="101"/>
      <c r="M49" s="101"/>
      <c r="N49" s="101"/>
      <c r="O49" s="101"/>
      <c r="P49" s="101"/>
      <c r="Q49" s="103"/>
      <c r="R49" s="100"/>
      <c r="S49" s="101"/>
      <c r="T49" s="101"/>
      <c r="U49" s="101"/>
      <c r="V49" s="101"/>
      <c r="W49" s="101"/>
      <c r="X49" s="101"/>
      <c r="Y49" s="101"/>
      <c r="Z49" s="103"/>
      <c r="AA49" s="115"/>
      <c r="AB49" s="116"/>
      <c r="AC49" s="116"/>
      <c r="AD49" s="116"/>
      <c r="AE49" s="117"/>
      <c r="AF49" s="100"/>
      <c r="AG49" s="103"/>
      <c r="AH49" s="100"/>
      <c r="AI49" s="101"/>
      <c r="AJ49" s="117"/>
      <c r="AK49" s="100"/>
      <c r="AL49" s="101"/>
      <c r="AM49" s="101"/>
      <c r="AN49" s="101"/>
      <c r="AO49" s="103"/>
      <c r="AP49" s="122"/>
    </row>
    <row r="50" spans="1:42" ht="12.75">
      <c r="A50" s="2"/>
      <c r="B50" s="49">
        <v>155</v>
      </c>
      <c r="C50" s="100"/>
      <c r="D50" s="101"/>
      <c r="E50" s="101"/>
      <c r="F50" s="101"/>
      <c r="G50" s="101"/>
      <c r="H50" s="102"/>
      <c r="I50" s="103"/>
      <c r="J50" s="110"/>
      <c r="K50" s="100"/>
      <c r="L50" s="101"/>
      <c r="M50" s="101"/>
      <c r="N50" s="101"/>
      <c r="O50" s="101"/>
      <c r="P50" s="101"/>
      <c r="Q50" s="103"/>
      <c r="R50" s="100"/>
      <c r="S50" s="101"/>
      <c r="T50" s="101"/>
      <c r="U50" s="101"/>
      <c r="V50" s="101"/>
      <c r="W50" s="101"/>
      <c r="X50" s="101"/>
      <c r="Y50" s="101"/>
      <c r="Z50" s="103"/>
      <c r="AA50" s="115"/>
      <c r="AB50" s="116"/>
      <c r="AC50" s="116"/>
      <c r="AD50" s="116"/>
      <c r="AE50" s="117"/>
      <c r="AF50" s="100"/>
      <c r="AG50" s="103"/>
      <c r="AH50" s="100"/>
      <c r="AI50" s="101"/>
      <c r="AJ50" s="117"/>
      <c r="AK50" s="100"/>
      <c r="AL50" s="101"/>
      <c r="AM50" s="101"/>
      <c r="AN50" s="101"/>
      <c r="AO50" s="103"/>
      <c r="AP50" s="122"/>
    </row>
    <row r="51" spans="1:42" ht="12.75">
      <c r="A51" s="2"/>
      <c r="B51" s="49">
        <v>160</v>
      </c>
      <c r="C51" s="100"/>
      <c r="D51" s="101"/>
      <c r="E51" s="101"/>
      <c r="F51" s="101"/>
      <c r="G51" s="101"/>
      <c r="H51" s="102"/>
      <c r="I51" s="103"/>
      <c r="J51" s="110"/>
      <c r="K51" s="100"/>
      <c r="L51" s="101"/>
      <c r="M51" s="101"/>
      <c r="N51" s="101"/>
      <c r="O51" s="101"/>
      <c r="P51" s="101"/>
      <c r="Q51" s="103"/>
      <c r="R51" s="100"/>
      <c r="S51" s="101"/>
      <c r="T51" s="101"/>
      <c r="U51" s="101"/>
      <c r="V51" s="101"/>
      <c r="W51" s="101"/>
      <c r="X51" s="101"/>
      <c r="Y51" s="101"/>
      <c r="Z51" s="103"/>
      <c r="AA51" s="115"/>
      <c r="AB51" s="116"/>
      <c r="AC51" s="116"/>
      <c r="AD51" s="116"/>
      <c r="AE51" s="117"/>
      <c r="AF51" s="100"/>
      <c r="AG51" s="103"/>
      <c r="AH51" s="100"/>
      <c r="AI51" s="101"/>
      <c r="AJ51" s="117"/>
      <c r="AK51" s="100"/>
      <c r="AL51" s="101"/>
      <c r="AM51" s="101"/>
      <c r="AN51" s="101"/>
      <c r="AO51" s="103"/>
      <c r="AP51" s="122"/>
    </row>
    <row r="52" spans="1:42" ht="12.75">
      <c r="A52" s="2"/>
      <c r="B52" s="49">
        <v>165</v>
      </c>
      <c r="C52" s="100"/>
      <c r="D52" s="101"/>
      <c r="E52" s="101"/>
      <c r="F52" s="101"/>
      <c r="G52" s="101"/>
      <c r="H52" s="102"/>
      <c r="I52" s="103"/>
      <c r="J52" s="110"/>
      <c r="K52" s="100"/>
      <c r="L52" s="101"/>
      <c r="M52" s="101"/>
      <c r="N52" s="101"/>
      <c r="O52" s="101"/>
      <c r="P52" s="101"/>
      <c r="Q52" s="103"/>
      <c r="R52" s="100"/>
      <c r="S52" s="101"/>
      <c r="T52" s="101"/>
      <c r="U52" s="101"/>
      <c r="V52" s="101"/>
      <c r="W52" s="101"/>
      <c r="X52" s="101"/>
      <c r="Y52" s="101"/>
      <c r="Z52" s="103"/>
      <c r="AA52" s="115"/>
      <c r="AB52" s="116"/>
      <c r="AC52" s="116"/>
      <c r="AD52" s="116"/>
      <c r="AE52" s="117"/>
      <c r="AF52" s="100"/>
      <c r="AG52" s="103"/>
      <c r="AH52" s="100"/>
      <c r="AI52" s="101"/>
      <c r="AJ52" s="117"/>
      <c r="AK52" s="100"/>
      <c r="AL52" s="101"/>
      <c r="AM52" s="101"/>
      <c r="AN52" s="101"/>
      <c r="AO52" s="103"/>
      <c r="AP52" s="122"/>
    </row>
    <row r="53" spans="1:42" ht="12.75">
      <c r="A53" s="2"/>
      <c r="B53" s="49">
        <v>170</v>
      </c>
      <c r="C53" s="100"/>
      <c r="D53" s="101"/>
      <c r="E53" s="101"/>
      <c r="F53" s="101"/>
      <c r="G53" s="101"/>
      <c r="H53" s="102"/>
      <c r="I53" s="103"/>
      <c r="J53" s="110"/>
      <c r="K53" s="100"/>
      <c r="L53" s="101"/>
      <c r="M53" s="101"/>
      <c r="N53" s="101"/>
      <c r="O53" s="101"/>
      <c r="P53" s="101"/>
      <c r="Q53" s="103"/>
      <c r="R53" s="100"/>
      <c r="S53" s="101"/>
      <c r="T53" s="101"/>
      <c r="U53" s="101"/>
      <c r="V53" s="101"/>
      <c r="W53" s="101"/>
      <c r="X53" s="101"/>
      <c r="Y53" s="101"/>
      <c r="Z53" s="103"/>
      <c r="AA53" s="115"/>
      <c r="AB53" s="116"/>
      <c r="AC53" s="116"/>
      <c r="AD53" s="116"/>
      <c r="AE53" s="117"/>
      <c r="AF53" s="100"/>
      <c r="AG53" s="103"/>
      <c r="AH53" s="100"/>
      <c r="AI53" s="101"/>
      <c r="AJ53" s="117"/>
      <c r="AK53" s="100"/>
      <c r="AL53" s="101"/>
      <c r="AM53" s="101"/>
      <c r="AN53" s="101"/>
      <c r="AO53" s="103"/>
      <c r="AP53" s="122"/>
    </row>
    <row r="54" spans="1:42" ht="12.75">
      <c r="A54" s="55"/>
      <c r="B54" s="88">
        <v>175</v>
      </c>
      <c r="C54" s="100"/>
      <c r="D54" s="101"/>
      <c r="E54" s="101"/>
      <c r="F54" s="101"/>
      <c r="G54" s="101"/>
      <c r="H54" s="102"/>
      <c r="I54" s="103"/>
      <c r="J54" s="110"/>
      <c r="K54" s="100"/>
      <c r="L54" s="101"/>
      <c r="M54" s="101"/>
      <c r="N54" s="101"/>
      <c r="O54" s="101"/>
      <c r="P54" s="101"/>
      <c r="Q54" s="103"/>
      <c r="R54" s="100"/>
      <c r="S54" s="101"/>
      <c r="T54" s="101"/>
      <c r="U54" s="101"/>
      <c r="V54" s="101"/>
      <c r="W54" s="101"/>
      <c r="X54" s="101"/>
      <c r="Y54" s="101"/>
      <c r="Z54" s="103"/>
      <c r="AA54" s="115"/>
      <c r="AB54" s="116"/>
      <c r="AC54" s="116"/>
      <c r="AD54" s="116"/>
      <c r="AE54" s="117"/>
      <c r="AF54" s="100"/>
      <c r="AG54" s="103"/>
      <c r="AH54" s="100"/>
      <c r="AI54" s="101"/>
      <c r="AJ54" s="117"/>
      <c r="AK54" s="100"/>
      <c r="AL54" s="101"/>
      <c r="AM54" s="101"/>
      <c r="AN54" s="101"/>
      <c r="AO54" s="103"/>
      <c r="AP54" s="122"/>
    </row>
    <row r="55" spans="1:42" ht="12.75">
      <c r="A55" s="77"/>
      <c r="B55" s="88">
        <v>180</v>
      </c>
      <c r="C55" s="100"/>
      <c r="D55" s="101"/>
      <c r="E55" s="101"/>
      <c r="F55" s="101"/>
      <c r="G55" s="101"/>
      <c r="H55" s="102"/>
      <c r="I55" s="103"/>
      <c r="J55" s="110"/>
      <c r="K55" s="100"/>
      <c r="L55" s="101"/>
      <c r="M55" s="101"/>
      <c r="N55" s="101"/>
      <c r="O55" s="101"/>
      <c r="P55" s="101"/>
      <c r="Q55" s="103"/>
      <c r="R55" s="100"/>
      <c r="S55" s="101"/>
      <c r="T55" s="101"/>
      <c r="U55" s="101"/>
      <c r="V55" s="101"/>
      <c r="W55" s="101"/>
      <c r="X55" s="101"/>
      <c r="Y55" s="101"/>
      <c r="Z55" s="103"/>
      <c r="AA55" s="115"/>
      <c r="AB55" s="116"/>
      <c r="AC55" s="116"/>
      <c r="AD55" s="116"/>
      <c r="AE55" s="117"/>
      <c r="AF55" s="100"/>
      <c r="AG55" s="103"/>
      <c r="AH55" s="100"/>
      <c r="AI55" s="101"/>
      <c r="AJ55" s="117"/>
      <c r="AK55" s="100"/>
      <c r="AL55" s="101"/>
      <c r="AM55" s="101"/>
      <c r="AN55" s="101"/>
      <c r="AO55" s="103"/>
      <c r="AP55" s="122"/>
    </row>
    <row r="56" spans="1:42" ht="12.75">
      <c r="A56" s="77"/>
      <c r="B56" s="88">
        <v>185</v>
      </c>
      <c r="C56" s="100"/>
      <c r="D56" s="101"/>
      <c r="E56" s="101"/>
      <c r="F56" s="101"/>
      <c r="G56" s="101"/>
      <c r="H56" s="102"/>
      <c r="I56" s="103"/>
      <c r="J56" s="110"/>
      <c r="K56" s="100"/>
      <c r="L56" s="101"/>
      <c r="M56" s="101"/>
      <c r="N56" s="101"/>
      <c r="O56" s="101"/>
      <c r="P56" s="101"/>
      <c r="Q56" s="103"/>
      <c r="R56" s="100"/>
      <c r="S56" s="101"/>
      <c r="T56" s="101"/>
      <c r="U56" s="101"/>
      <c r="V56" s="101"/>
      <c r="W56" s="101"/>
      <c r="X56" s="101"/>
      <c r="Y56" s="101"/>
      <c r="Z56" s="103"/>
      <c r="AA56" s="115"/>
      <c r="AB56" s="116"/>
      <c r="AC56" s="116"/>
      <c r="AD56" s="116"/>
      <c r="AE56" s="117"/>
      <c r="AF56" s="100"/>
      <c r="AG56" s="103"/>
      <c r="AH56" s="100"/>
      <c r="AI56" s="101"/>
      <c r="AJ56" s="117"/>
      <c r="AK56" s="100"/>
      <c r="AL56" s="101"/>
      <c r="AM56" s="101"/>
      <c r="AN56" s="101"/>
      <c r="AO56" s="103"/>
      <c r="AP56" s="122"/>
    </row>
    <row r="57" spans="1:42" ht="12.75">
      <c r="A57" s="77"/>
      <c r="B57" s="88">
        <v>190</v>
      </c>
      <c r="C57" s="100"/>
      <c r="D57" s="101"/>
      <c r="E57" s="101"/>
      <c r="F57" s="101"/>
      <c r="G57" s="101"/>
      <c r="H57" s="102"/>
      <c r="I57" s="103"/>
      <c r="J57" s="110"/>
      <c r="K57" s="100"/>
      <c r="L57" s="101"/>
      <c r="M57" s="101"/>
      <c r="N57" s="101"/>
      <c r="O57" s="101"/>
      <c r="P57" s="101"/>
      <c r="Q57" s="103"/>
      <c r="R57" s="100"/>
      <c r="S57" s="101"/>
      <c r="T57" s="101"/>
      <c r="U57" s="101"/>
      <c r="V57" s="101"/>
      <c r="W57" s="101"/>
      <c r="X57" s="101"/>
      <c r="Y57" s="101"/>
      <c r="Z57" s="103"/>
      <c r="AA57" s="115"/>
      <c r="AB57" s="116"/>
      <c r="AC57" s="116"/>
      <c r="AD57" s="116"/>
      <c r="AE57" s="117"/>
      <c r="AF57" s="100"/>
      <c r="AG57" s="103"/>
      <c r="AH57" s="100"/>
      <c r="AI57" s="101"/>
      <c r="AJ57" s="117"/>
      <c r="AK57" s="100"/>
      <c r="AL57" s="101"/>
      <c r="AM57" s="101"/>
      <c r="AN57" s="101"/>
      <c r="AO57" s="103"/>
      <c r="AP57" s="122"/>
    </row>
    <row r="58" spans="1:42" ht="12.75">
      <c r="A58" s="77"/>
      <c r="B58" s="88">
        <v>195</v>
      </c>
      <c r="C58" s="104"/>
      <c r="D58" s="105"/>
      <c r="E58" s="105"/>
      <c r="F58" s="105"/>
      <c r="G58" s="105"/>
      <c r="H58" s="106"/>
      <c r="I58" s="107"/>
      <c r="J58" s="111"/>
      <c r="K58" s="104"/>
      <c r="L58" s="105"/>
      <c r="M58" s="105"/>
      <c r="N58" s="105"/>
      <c r="O58" s="105"/>
      <c r="P58" s="105"/>
      <c r="Q58" s="107"/>
      <c r="R58" s="104"/>
      <c r="S58" s="105"/>
      <c r="T58" s="105"/>
      <c r="U58" s="105"/>
      <c r="V58" s="105"/>
      <c r="W58" s="105"/>
      <c r="X58" s="105"/>
      <c r="Y58" s="105"/>
      <c r="Z58" s="107"/>
      <c r="AA58" s="118"/>
      <c r="AB58" s="119"/>
      <c r="AC58" s="119"/>
      <c r="AD58" s="119"/>
      <c r="AE58" s="120"/>
      <c r="AF58" s="104"/>
      <c r="AG58" s="107"/>
      <c r="AH58" s="104"/>
      <c r="AI58" s="105"/>
      <c r="AJ58" s="120"/>
      <c r="AK58" s="104"/>
      <c r="AL58" s="105"/>
      <c r="AM58" s="105"/>
      <c r="AN58" s="105"/>
      <c r="AO58" s="107"/>
      <c r="AP58" s="123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9" ht="12.75">
      <c r="B69" s="89"/>
    </row>
    <row r="81" ht="12.75">
      <c r="B81" s="89"/>
    </row>
  </sheetData>
  <sheetProtection/>
  <mergeCells count="12">
    <mergeCell ref="B20:K20"/>
    <mergeCell ref="A2:C17"/>
    <mergeCell ref="Q3:R3"/>
    <mergeCell ref="D16:I16"/>
    <mergeCell ref="L16:N16"/>
    <mergeCell ref="AA24:AE24"/>
    <mergeCell ref="AF24:AG24"/>
    <mergeCell ref="AK24:AO24"/>
    <mergeCell ref="B21:K21"/>
    <mergeCell ref="C24:I24"/>
    <mergeCell ref="K24:Q24"/>
    <mergeCell ref="R24:Z2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Picture.8" shapeId="4259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Tápvíz-előmelegítés előre keveréssel</dc:title>
  <dc:subject>Erőművek</dc:subject>
  <dc:creator>Györke Gábor</dc:creator>
  <cp:keywords>Erőművek gyakorlat</cp:keywords>
  <dc:description/>
  <cp:lastModifiedBy>Györke Gábor</cp:lastModifiedBy>
  <cp:lastPrinted>2014-08-14T06:51:31Z</cp:lastPrinted>
  <dcterms:created xsi:type="dcterms:W3CDTF">1996-10-14T23:33:28Z</dcterms:created>
  <dcterms:modified xsi:type="dcterms:W3CDTF">2014-08-14T10:26:53Z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