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9435" windowHeight="4080" tabRatio="598" activeTab="0"/>
  </bookViews>
  <sheets>
    <sheet name="CCGT" sheetId="1" r:id="rId1"/>
    <sheet name="CCGT_p_valt" sheetId="2" r:id="rId2"/>
    <sheet name="Properties" sheetId="3" state="hidden" r:id="rId3"/>
    <sheet name="Functions" sheetId="4" state="hidden" r:id="rId4"/>
  </sheets>
  <definedNames>
    <definedName name="solver_adj" localSheetId="0" hidden="1">'CCGT'!$F$37</definedName>
    <definedName name="solver_adj" localSheetId="1" hidden="1">'CCGT_p_valt'!$I$30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'CCGT'!$I$27</definedName>
    <definedName name="solver_lin" localSheetId="0" hidden="1">2</definedName>
    <definedName name="solver_lin" localSheetId="1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eg" localSheetId="1" hidden="1">2</definedName>
    <definedName name="solver_nod" localSheetId="0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'CCGT'!$F$46</definedName>
    <definedName name="solver_opt" localSheetId="1" hidden="1">'CCGT_p_valt'!#REF!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el1" localSheetId="0" hidden="1">3</definedName>
    <definedName name="solver_rhs1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15</definedName>
    <definedName name="solver_val" localSheetId="1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<sst xmlns="http://schemas.openxmlformats.org/spreadsheetml/2006/main" count="765" uniqueCount="388">
  <si>
    <t>v2.6</t>
  </si>
  <si>
    <t>* Error in valid region for function tc_ptrho</t>
  </si>
  <si>
    <t>Prandtl</t>
  </si>
  <si>
    <t>Pressure as a function of h and rho (density). Very unaccurate for solid water region since it's almost incompressible!</t>
  </si>
  <si>
    <t>News in V2.2</t>
  </si>
  <si>
    <t>* Function p_hrho added. (Very good for calcualting pressure when heating a volume with water/steam mixture.)</t>
  </si>
  <si>
    <t>* Fixed error in Cp_ph</t>
  </si>
  <si>
    <t>Dynamic Viscosity</t>
  </si>
  <si>
    <t>Calcualted as Cp*my/tc</t>
  </si>
  <si>
    <t>* Prandtl number added</t>
  </si>
  <si>
    <t>* Extensive testing</t>
  </si>
  <si>
    <t>-</t>
  </si>
  <si>
    <t>Version history</t>
  </si>
  <si>
    <t>* Fixed error in T_hs return no value for vet region bellow the water saturation line.</t>
  </si>
  <si>
    <t>News in V2.3</t>
  </si>
  <si>
    <t>* my_ph not defined in region 4.</t>
  </si>
  <si>
    <t>* Problems at region border for h4V_p to adress solver problems at the exact border.</t>
  </si>
  <si>
    <t>* Option Explicit, gives more efficient calculations.</t>
  </si>
  <si>
    <t>* Problem at fast border check in region_ph fixed.</t>
  </si>
  <si>
    <t>News in V2.4</t>
  </si>
  <si>
    <t>* Matlab error giving varaible undefined in some backwards solutions fixed.</t>
  </si>
  <si>
    <t xml:space="preserve"> p_hrho</t>
  </si>
  <si>
    <t xml:space="preserve"> p_hs</t>
  </si>
  <si>
    <t xml:space="preserve"> psat_T</t>
  </si>
  <si>
    <t xml:space="preserve"> T_hs</t>
  </si>
  <si>
    <t xml:space="preserve"> T_ph</t>
  </si>
  <si>
    <t xml:space="preserve"> Tsat_p</t>
  </si>
  <si>
    <t xml:space="preserve"> T_ps</t>
  </si>
  <si>
    <t xml:space="preserve"> hV_p</t>
  </si>
  <si>
    <t xml:space="preserve"> hL_p</t>
  </si>
  <si>
    <t xml:space="preserve"> hV_T</t>
  </si>
  <si>
    <t xml:space="preserve"> hL_T</t>
  </si>
  <si>
    <t xml:space="preserve"> h_pT</t>
  </si>
  <si>
    <t xml:space="preserve"> h_ps</t>
  </si>
  <si>
    <t xml:space="preserve"> h_px</t>
  </si>
  <si>
    <t xml:space="preserve"> h_Tx</t>
  </si>
  <si>
    <t xml:space="preserve"> h_prho</t>
  </si>
  <si>
    <t xml:space="preserve"> vV_p</t>
  </si>
  <si>
    <t xml:space="preserve"> vL_p</t>
  </si>
  <si>
    <t xml:space="preserve"> vV_T</t>
  </si>
  <si>
    <t xml:space="preserve"> vL_T</t>
  </si>
  <si>
    <t xml:space="preserve"> v_pT</t>
  </si>
  <si>
    <t xml:space="preserve"> v_ph</t>
  </si>
  <si>
    <t xml:space="preserve"> v_ps</t>
  </si>
  <si>
    <t xml:space="preserve"> rhoV_p</t>
  </si>
  <si>
    <t xml:space="preserve"> rhoL_p</t>
  </si>
  <si>
    <t xml:space="preserve"> rhoV_T</t>
  </si>
  <si>
    <t xml:space="preserve"> rhoL_T</t>
  </si>
  <si>
    <t xml:space="preserve"> rho_pT</t>
  </si>
  <si>
    <t xml:space="preserve"> rho_ph</t>
  </si>
  <si>
    <t xml:space="preserve"> rho_ps</t>
  </si>
  <si>
    <t xml:space="preserve"> sV_p</t>
  </si>
  <si>
    <t xml:space="preserve"> sL_p</t>
  </si>
  <si>
    <t xml:space="preserve"> sV_T</t>
  </si>
  <si>
    <t xml:space="preserve"> sL_T</t>
  </si>
  <si>
    <t xml:space="preserve"> s_pT</t>
  </si>
  <si>
    <t xml:space="preserve"> s_ph</t>
  </si>
  <si>
    <t xml:space="preserve"> uV_p</t>
  </si>
  <si>
    <t xml:space="preserve"> uL_p</t>
  </si>
  <si>
    <t xml:space="preserve"> uV_T</t>
  </si>
  <si>
    <t xml:space="preserve"> uL_T</t>
  </si>
  <si>
    <t xml:space="preserve"> u_pT</t>
  </si>
  <si>
    <t xml:space="preserve"> u_ph</t>
  </si>
  <si>
    <t xml:space="preserve"> u_ps</t>
  </si>
  <si>
    <t xml:space="preserve"> CpV_p</t>
  </si>
  <si>
    <t xml:space="preserve"> CpL_p</t>
  </si>
  <si>
    <t xml:space="preserve"> CpV_T</t>
  </si>
  <si>
    <t xml:space="preserve"> CpL_T</t>
  </si>
  <si>
    <t xml:space="preserve"> Cp_pT</t>
  </si>
  <si>
    <t xml:space="preserve"> Cp_ph</t>
  </si>
  <si>
    <t xml:space="preserve"> Cp_ps</t>
  </si>
  <si>
    <t xml:space="preserve"> CvV_p</t>
  </si>
  <si>
    <t xml:space="preserve"> CvL_p</t>
  </si>
  <si>
    <t xml:space="preserve"> CvV_T</t>
  </si>
  <si>
    <t xml:space="preserve"> CvL_T</t>
  </si>
  <si>
    <t xml:space="preserve"> Cv_pT</t>
  </si>
  <si>
    <t xml:space="preserve"> Cv_ph</t>
  </si>
  <si>
    <t xml:space="preserve"> Cv_ps</t>
  </si>
  <si>
    <t xml:space="preserve"> wV_p</t>
  </si>
  <si>
    <t xml:space="preserve"> wL_p</t>
  </si>
  <si>
    <t xml:space="preserve"> wV_T</t>
  </si>
  <si>
    <t xml:space="preserve"> wL_T</t>
  </si>
  <si>
    <t xml:space="preserve"> w_pT</t>
  </si>
  <si>
    <t xml:space="preserve"> w_ph</t>
  </si>
  <si>
    <t xml:space="preserve"> w_ps</t>
  </si>
  <si>
    <t xml:space="preserve"> my_pT</t>
  </si>
  <si>
    <t xml:space="preserve"> my_ph</t>
  </si>
  <si>
    <t xml:space="preserve"> my_ps</t>
  </si>
  <si>
    <t xml:space="preserve"> pr_pT</t>
  </si>
  <si>
    <t xml:space="preserve"> pr_ph</t>
  </si>
  <si>
    <t xml:space="preserve"> tcL_p</t>
  </si>
  <si>
    <t xml:space="preserve"> tcV_p</t>
  </si>
  <si>
    <t xml:space="preserve"> tcL_T</t>
  </si>
  <si>
    <t xml:space="preserve"> tcV_T</t>
  </si>
  <si>
    <t xml:space="preserve"> tc_pT</t>
  </si>
  <si>
    <t xml:space="preserve"> tc_ph</t>
  </si>
  <si>
    <t xml:space="preserve"> tc_hs</t>
  </si>
  <si>
    <t xml:space="preserve"> st_T</t>
  </si>
  <si>
    <t xml:space="preserve"> st_p</t>
  </si>
  <si>
    <t xml:space="preserve"> x_ph</t>
  </si>
  <si>
    <t xml:space="preserve"> x_ps</t>
  </si>
  <si>
    <t xml:space="preserve"> vx_ph</t>
  </si>
  <si>
    <t xml:space="preserve"> vx_ps</t>
  </si>
  <si>
    <t>* OpenOffice version introduced. (Fixed calculation differences in open office and excel)</t>
  </si>
  <si>
    <t>* Many missing ; in matlab causing printouts detected.</t>
  </si>
  <si>
    <t>* Functions by p,rho inplemented in matlab also.</t>
  </si>
  <si>
    <t>News in V2.4a</t>
  </si>
  <si>
    <t>* ToSIUnit for h_ps region 4. (No effect in SI unit version).</t>
  </si>
  <si>
    <t>* Fixed small error in Cv Region 5 p&gt;1000bar</t>
  </si>
  <si>
    <t>News in V2.5</t>
  </si>
  <si>
    <t>* Freebasic translation</t>
  </si>
  <si>
    <t>* DLL distrubution for use in other applications</t>
  </si>
  <si>
    <t>* Error in function h3_pt for temperatures near the saturation point.</t>
  </si>
  <si>
    <t>News in V2.6</t>
  </si>
  <si>
    <t>Speed of sound as a function of pressure and entropy.</t>
  </si>
  <si>
    <t>Viscosity as a function of pressure and temperature.</t>
  </si>
  <si>
    <t>Viscosity as a function of pressure and enthalpy</t>
  </si>
  <si>
    <t>Viscosity as a function of pressure and entropy.</t>
  </si>
  <si>
    <t>Vapour fraction as a function of pressure and enthalpy</t>
  </si>
  <si>
    <t>Vapour fraction as a function of pressure and entropy.</t>
  </si>
  <si>
    <t>Vapour volume fraction as a function of pressure and enthalpy</t>
  </si>
  <si>
    <t>Vapour volume fraction as a function of pressure and entropy.</t>
  </si>
  <si>
    <t>* Calling functions of h and s added.</t>
  </si>
  <si>
    <t>* Calling functions h_px and h_tx added.</t>
  </si>
  <si>
    <t>* Cp, Cv and w undefined in the mixed region. (Before interpolation with the vapor fraction was used.)</t>
  </si>
  <si>
    <t>* A work sheet "Properties" for simple lookups added.</t>
  </si>
  <si>
    <t>Vapour Volume Fraction</t>
  </si>
  <si>
    <t>Viscosity is not part of IAPWS Steam IF97. Equations from "Revised Release on the IAPWS Formulation 1985 for the Viscosity of Ordinary Water Substance", 2003 are used.</t>
  </si>
  <si>
    <t>Specific entropy as a function of pressure and temperature (Returns saturated vapour entalpy if mixture.)</t>
  </si>
  <si>
    <t>Thermal Conductivity</t>
  </si>
  <si>
    <t>Revised release on the IAPS Formulation 1985 for the Thermal Conductivity of ordinary water substance (IAPWS 1998)</t>
  </si>
  <si>
    <t>W/(m K)</t>
  </si>
  <si>
    <t>Saturated vapour thermal conductivity</t>
  </si>
  <si>
    <t>Saturated liquid thermal conductivity</t>
  </si>
  <si>
    <t>Thermal conductivity as a function of pressure and temperature.</t>
  </si>
  <si>
    <t>Thermal conductivity as a function of pressure and enthalpy</t>
  </si>
  <si>
    <t>Thermal conductivity as a function of enthalpy and entropy</t>
  </si>
  <si>
    <t>Surface Tension</t>
  </si>
  <si>
    <t>IAPWS Release on Surface Tension of Ordinary Water Substance, September 1994</t>
  </si>
  <si>
    <t>N/m</t>
  </si>
  <si>
    <t>* Thermal conductivity, Surface tension added</t>
  </si>
  <si>
    <t>Surface tension for two phase water/steam as a function of T</t>
  </si>
  <si>
    <t>The excel scripts are stored inside this workbook. (No extra files are needed. Start from a copy of this workbook. This page can be removed)</t>
  </si>
  <si>
    <t>For error-reporting, feedback, other units etc. contact:</t>
  </si>
  <si>
    <t>Entalpy as a function of pressure and density. Observe for low temperatures (liquid) this equation has 2 solutions. (Not valid!!)</t>
  </si>
  <si>
    <t xml:space="preserve">Excel macros, IF-97 Steam tables. </t>
  </si>
  <si>
    <t>The excel scripts are stored inside this workbook. A complete list of functions for use is available on the "Calling functions" worksheet</t>
  </si>
  <si>
    <t>By: Magnus Holmgren</t>
  </si>
  <si>
    <t>www.x-eng.com</t>
  </si>
  <si>
    <t>Saturation properties given temperature</t>
  </si>
  <si>
    <t>Saturation properties given pressure</t>
  </si>
  <si>
    <t>bar a</t>
  </si>
  <si>
    <t>Liquid</t>
  </si>
  <si>
    <t>Entropy</t>
  </si>
  <si>
    <t>Vapour</t>
  </si>
  <si>
    <t>Vapour enthalpy</t>
  </si>
  <si>
    <t>Vapour density</t>
  </si>
  <si>
    <t>Vapour Entropy</t>
  </si>
  <si>
    <t>vapour Entropy</t>
  </si>
  <si>
    <t>Evaporation energy</t>
  </si>
  <si>
    <t>Properties given pressure and temperature</t>
  </si>
  <si>
    <t>Properties given pressure and enthalpy</t>
  </si>
  <si>
    <t>IF97 Region</t>
  </si>
  <si>
    <t>Phase</t>
  </si>
  <si>
    <t xml:space="preserve">Isobaric heat capacity </t>
  </si>
  <si>
    <t>Speed of sound</t>
  </si>
  <si>
    <t>* Calling function h_prho</t>
  </si>
  <si>
    <t>* Fixed problem with Cv reporting NaN in region 5.</t>
  </si>
  <si>
    <t>* Equivivalent to the Matlab version. (Downloadable from www.x-eng.com)</t>
  </si>
  <si>
    <t>News in V2</t>
  </si>
  <si>
    <t>News in V2.1</t>
  </si>
  <si>
    <t>kJ/kg</t>
  </si>
  <si>
    <t>m3/kg</t>
  </si>
  <si>
    <t>kJ/(kg K)</t>
  </si>
  <si>
    <t>m/s</t>
  </si>
  <si>
    <t>Enthalpy</t>
  </si>
  <si>
    <t>Temperature</t>
  </si>
  <si>
    <t>kg/m3</t>
  </si>
  <si>
    <t>bar</t>
  </si>
  <si>
    <t>°C</t>
  </si>
  <si>
    <t xml:space="preserve">Specific entropy </t>
  </si>
  <si>
    <t>Density</t>
  </si>
  <si>
    <t xml:space="preserve">Specific internal energy </t>
  </si>
  <si>
    <t xml:space="preserve">Specific isobaric heat capacity </t>
  </si>
  <si>
    <t xml:space="preserve">Speed of sound </t>
  </si>
  <si>
    <t xml:space="preserve">Specific isochoric heat capacity </t>
  </si>
  <si>
    <t>Pressure</t>
  </si>
  <si>
    <t>Saturation temperature</t>
  </si>
  <si>
    <t>Saturation pressure</t>
  </si>
  <si>
    <t>Specific volume</t>
  </si>
  <si>
    <t>Saturated vapour enthalpy</t>
  </si>
  <si>
    <t>Saturated vapour volume</t>
  </si>
  <si>
    <t>Saturated vapour density</t>
  </si>
  <si>
    <t>Saturated vapour entropy</t>
  </si>
  <si>
    <t>Saturated vapour internal energy</t>
  </si>
  <si>
    <t>Saturated liquid enthalpy</t>
  </si>
  <si>
    <t>Saturated liquid volume</t>
  </si>
  <si>
    <t>Saturated liquid density</t>
  </si>
  <si>
    <t>Saturated liquid entropy</t>
  </si>
  <si>
    <t>Saturated liquid internal energy</t>
  </si>
  <si>
    <t xml:space="preserve">Saturated liquid heat capacity </t>
  </si>
  <si>
    <t xml:space="preserve">Saturated vapour heat capacity </t>
  </si>
  <si>
    <t>Saturated liquid isochoric heat capacity</t>
  </si>
  <si>
    <t>Saturated vapour isochoric heat capacity</t>
  </si>
  <si>
    <t>Saturated liquid speed of sound</t>
  </si>
  <si>
    <t>Saturated vapour speed of sound</t>
  </si>
  <si>
    <t>Vapour fraction</t>
  </si>
  <si>
    <t>Pa s</t>
  </si>
  <si>
    <t>%</t>
  </si>
  <si>
    <t>gets close to the accurancy of steam IF-97</t>
  </si>
  <si>
    <t>Viscosity in the mixed region (4) is interpolated according to the density. This is not true since it will be two fases.</t>
  </si>
  <si>
    <t>OBS: This workbook uses macros. Set security options in Tools:Macro:Security… to enable macros.</t>
  </si>
  <si>
    <t>Temperture as a function of pressure and enthalpy</t>
  </si>
  <si>
    <t>Temperture as a function of pressure and entropy</t>
  </si>
  <si>
    <t>Entalpy as a function of pressure and temperature.</t>
  </si>
  <si>
    <t>Entalpy as a function of pressure and entropy.</t>
  </si>
  <si>
    <t>Observe that vapour volume fraction is very sensitive. Vapour volume is about 1000 times greater than liquid volume and therfore vapour volume fraction</t>
  </si>
  <si>
    <t>The steam tables are free and provided as is. We take no responsibilities for any errors in the code or damage thereby.</t>
  </si>
  <si>
    <t>kJ/kgK</t>
  </si>
  <si>
    <t>X Steam Tables</t>
  </si>
  <si>
    <t>http://www.x-eng.com</t>
  </si>
  <si>
    <t xml:space="preserve">Steam tables by Magnus Holmgren according to IAPWS IF-97 </t>
  </si>
  <si>
    <t xml:space="preserve">Pressure as a function of h and s. </t>
  </si>
  <si>
    <t>magnus@x-eng.com</t>
  </si>
  <si>
    <t>kJ/(kg°C)</t>
  </si>
  <si>
    <t>Entalpy as a function of pressure and vapour fraction</t>
  </si>
  <si>
    <t>Entalpy as a function of temperature and vapour fraction</t>
  </si>
  <si>
    <t>Temperture as a function of enthalpy and entropy</t>
  </si>
  <si>
    <t>Specific volume as a function of pressure and temperature.</t>
  </si>
  <si>
    <t>Specific volume as a function of pressure and enthalpy</t>
  </si>
  <si>
    <t>Specific volume as a function of pressure and entropy.</t>
  </si>
  <si>
    <t>Density as a function of pressure and temperature.</t>
  </si>
  <si>
    <t>Density as a function of pressure and enthalpy</t>
  </si>
  <si>
    <t>Density as a function of pressure and entropy.</t>
  </si>
  <si>
    <t>Specific entropy as a function of pressure and enthalpy</t>
  </si>
  <si>
    <t>Specific internal energy as a function of pressure and temperature.</t>
  </si>
  <si>
    <t>Specific internal energy as a function of pressure and enthalpy</t>
  </si>
  <si>
    <t>Specific internal energy as a function of pressure and entropy.</t>
  </si>
  <si>
    <t>Specific isobaric heat capacity as a function of pressure and temperature.</t>
  </si>
  <si>
    <t>Specific isobaric heat capacity as a function of pressure and enthalpy</t>
  </si>
  <si>
    <t>Specific isobaric heat capacity as a function of pressure and entropy.</t>
  </si>
  <si>
    <t>Specific isochoric heat capacity as a function of pressure and temperature.</t>
  </si>
  <si>
    <t>Specific isochoric heat capacity as a function of pressure and enthalpy</t>
  </si>
  <si>
    <t>Specific isochoric heat capacity as a function of pressure and entropy.</t>
  </si>
  <si>
    <t>Speed of sound as a function of pressure and temperature.</t>
  </si>
  <si>
    <t>Speed of sound as a function of pressure and enthalpy</t>
  </si>
  <si>
    <t>Adatok</t>
  </si>
  <si>
    <t>Kompresszor</t>
  </si>
  <si>
    <t>HH kazán</t>
  </si>
  <si>
    <t>Számolás</t>
  </si>
  <si>
    <t>K</t>
  </si>
  <si>
    <t>Hü</t>
  </si>
  <si>
    <t>kg/s</t>
  </si>
  <si>
    <t>Q_HH</t>
  </si>
  <si>
    <t>MW</t>
  </si>
  <si>
    <t>P_komp</t>
  </si>
  <si>
    <t>Q_be</t>
  </si>
  <si>
    <t>h_L</t>
  </si>
  <si>
    <t>h_V</t>
  </si>
  <si>
    <t>Gőzturbina</t>
  </si>
  <si>
    <t>Gázturbina</t>
  </si>
  <si>
    <t>Gázurbina</t>
  </si>
  <si>
    <t>s_S3</t>
  </si>
  <si>
    <t>h_S4</t>
  </si>
  <si>
    <t>P_ST</t>
  </si>
  <si>
    <t>Körfolyamat</t>
  </si>
  <si>
    <t>P_össz</t>
  </si>
  <si>
    <t>eta_össz</t>
  </si>
  <si>
    <t>P_GT</t>
  </si>
  <si>
    <t>MJ/kg</t>
  </si>
  <si>
    <t>T_S2</t>
  </si>
  <si>
    <t>T_S3</t>
  </si>
  <si>
    <t>h_S3</t>
  </si>
  <si>
    <t>h_S2</t>
  </si>
  <si>
    <t>h_S4*</t>
  </si>
  <si>
    <r>
      <rPr>
        <sz val="10"/>
        <rFont val="Symbol"/>
        <family val="1"/>
      </rPr>
      <t>k</t>
    </r>
    <r>
      <rPr>
        <sz val="10"/>
        <rFont val="Arial"/>
        <family val="2"/>
      </rPr>
      <t>_fg</t>
    </r>
  </si>
  <si>
    <t>cp_fg</t>
  </si>
  <si>
    <t>T3</t>
  </si>
  <si>
    <t>p2</t>
  </si>
  <si>
    <t>p1</t>
  </si>
  <si>
    <t>T1</t>
  </si>
  <si>
    <t>m_air</t>
  </si>
  <si>
    <t>cp_air</t>
  </si>
  <si>
    <r>
      <rPr>
        <sz val="10"/>
        <rFont val="Symbol"/>
        <family val="1"/>
      </rPr>
      <t>k</t>
    </r>
    <r>
      <rPr>
        <sz val="10"/>
        <rFont val="Arial"/>
        <family val="2"/>
      </rPr>
      <t>_air</t>
    </r>
  </si>
  <si>
    <t>m_tv</t>
  </si>
  <si>
    <t>m_fg</t>
  </si>
  <si>
    <t>m_ü</t>
  </si>
  <si>
    <t>Vízhevítő</t>
  </si>
  <si>
    <t>Elgőzölögtető</t>
  </si>
  <si>
    <t>Túlhevítő</t>
  </si>
  <si>
    <t>T_sat</t>
  </si>
  <si>
    <t>Q_tv</t>
  </si>
  <si>
    <t>Q_fg</t>
  </si>
  <si>
    <t>T_fg_be</t>
  </si>
  <si>
    <t>T_fg_ki</t>
  </si>
  <si>
    <t>P_sziv</t>
  </si>
  <si>
    <t>h_S1</t>
  </si>
  <si>
    <t>s_S1</t>
  </si>
  <si>
    <t>kJ/kg/K</t>
  </si>
  <si>
    <t>Tápszivattyú</t>
  </si>
  <si>
    <r>
      <rPr>
        <sz val="10"/>
        <rFont val="Symbol"/>
        <family val="1"/>
      </rPr>
      <t>h</t>
    </r>
    <r>
      <rPr>
        <sz val="10"/>
        <rFont val="Arial"/>
        <family val="2"/>
      </rPr>
      <t>_GT</t>
    </r>
  </si>
  <si>
    <r>
      <rPr>
        <sz val="10"/>
        <rFont val="Symbol"/>
        <family val="1"/>
      </rPr>
      <t>h</t>
    </r>
    <r>
      <rPr>
        <sz val="10"/>
        <rFont val="Arial"/>
        <family val="2"/>
      </rPr>
      <t>_komp</t>
    </r>
  </si>
  <si>
    <r>
      <rPr>
        <sz val="10"/>
        <rFont val="Symbol"/>
        <family val="1"/>
      </rPr>
      <t>h</t>
    </r>
    <r>
      <rPr>
        <sz val="10"/>
        <rFont val="Arial"/>
        <family val="2"/>
      </rPr>
      <t>_ST</t>
    </r>
  </si>
  <si>
    <t>J/kg/K</t>
  </si>
  <si>
    <t>Q_TH</t>
  </si>
  <si>
    <t>Q_E</t>
  </si>
  <si>
    <t>p_S4</t>
  </si>
  <si>
    <t>kW</t>
  </si>
  <si>
    <t>Régió</t>
  </si>
  <si>
    <t>Q [MW]</t>
  </si>
  <si>
    <t>t_gőz [°C]</t>
  </si>
  <si>
    <t>t_fg [°C]</t>
  </si>
  <si>
    <r>
      <t>J/(kg</t>
    </r>
    <r>
      <rPr>
        <sz val="10"/>
        <rFont val="MaplePi"/>
        <family val="0"/>
      </rPr>
      <t>×</t>
    </r>
    <r>
      <rPr>
        <sz val="10"/>
        <rFont val="Arial"/>
        <family val="2"/>
      </rPr>
      <t>K)</t>
    </r>
  </si>
  <si>
    <r>
      <rPr>
        <sz val="10"/>
        <rFont val="Palatino Linotype"/>
        <family val="1"/>
      </rPr>
      <t>Δ</t>
    </r>
    <r>
      <rPr>
        <sz val="10"/>
        <rFont val="Arial"/>
        <family val="2"/>
      </rPr>
      <t>T_PP</t>
    </r>
  </si>
  <si>
    <t>p_sat_HH</t>
  </si>
  <si>
    <t>Gőzciklus</t>
  </si>
  <si>
    <t>T2</t>
  </si>
  <si>
    <t>T2*</t>
  </si>
  <si>
    <t>T4*</t>
  </si>
  <si>
    <t>T4</t>
  </si>
  <si>
    <t>Hőhasznosító</t>
  </si>
  <si>
    <t>ÁBRÁZOLÁS</t>
  </si>
  <si>
    <t>OPTIMÁLIS NYOMÁS</t>
  </si>
  <si>
    <t>Q</t>
  </si>
  <si>
    <t>t_gőz</t>
  </si>
  <si>
    <r>
      <t>p</t>
    </r>
    <r>
      <rPr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</si>
  <si>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3</t>
    </r>
  </si>
  <si>
    <r>
      <t>p</t>
    </r>
    <r>
      <rPr>
        <vertAlign val="subscript"/>
        <sz val="10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</si>
  <si>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p,fg</t>
    </r>
  </si>
  <si>
    <r>
      <t>T</t>
    </r>
    <r>
      <rPr>
        <vertAlign val="subscript"/>
        <sz val="10"/>
        <rFont val="Arial"/>
        <family val="2"/>
      </rPr>
      <t>1</t>
    </r>
  </si>
  <si>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GT</t>
    </r>
  </si>
  <si>
    <r>
      <t>m</t>
    </r>
    <r>
      <rPr>
        <vertAlign val="subscript"/>
        <sz val="10"/>
        <rFont val="Arial"/>
        <family val="2"/>
      </rPr>
      <t>air</t>
    </r>
  </si>
  <si>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fg</t>
    </r>
  </si>
  <si>
    <r>
      <t>c</t>
    </r>
    <r>
      <rPr>
        <vertAlign val="subscript"/>
        <sz val="10"/>
        <rFont val="Arial"/>
        <family val="2"/>
      </rPr>
      <t>p,air</t>
    </r>
  </si>
  <si>
    <r>
      <t>H</t>
    </r>
    <r>
      <rPr>
        <vertAlign val="subscript"/>
        <sz val="10"/>
        <rFont val="Arial"/>
        <family val="2"/>
      </rPr>
      <t>ü</t>
    </r>
  </si>
  <si>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K</t>
    </r>
  </si>
  <si>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air</t>
    </r>
  </si>
  <si>
    <r>
      <t>T</t>
    </r>
    <r>
      <rPr>
        <vertAlign val="subscript"/>
        <sz val="10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</si>
  <si>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4</t>
    </r>
  </si>
  <si>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ST</t>
    </r>
  </si>
  <si>
    <r>
      <t>T</t>
    </r>
    <r>
      <rPr>
        <vertAlign val="subscript"/>
        <sz val="10"/>
        <rFont val="Arial"/>
        <family val="2"/>
      </rPr>
      <t>2*</t>
    </r>
  </si>
  <si>
    <r>
      <t>T</t>
    </r>
    <r>
      <rPr>
        <vertAlign val="subscript"/>
        <sz val="10"/>
        <rFont val="Arial"/>
        <family val="2"/>
      </rPr>
      <t>4*</t>
    </r>
  </si>
  <si>
    <r>
      <t>p</t>
    </r>
    <r>
      <rPr>
        <vertAlign val="subscript"/>
        <sz val="10"/>
        <rFont val="Arial"/>
        <family val="2"/>
      </rPr>
      <t>S1</t>
    </r>
  </si>
  <si>
    <r>
      <t>P</t>
    </r>
    <r>
      <rPr>
        <vertAlign val="subscript"/>
        <sz val="10"/>
        <rFont val="Arial"/>
        <family val="2"/>
      </rPr>
      <t>K</t>
    </r>
  </si>
  <si>
    <r>
      <t>m</t>
    </r>
    <r>
      <rPr>
        <vertAlign val="subscript"/>
        <sz val="10"/>
        <rFont val="Arial"/>
        <family val="2"/>
      </rPr>
      <t>ü</t>
    </r>
  </si>
  <si>
    <r>
      <t>s</t>
    </r>
    <r>
      <rPr>
        <vertAlign val="subscript"/>
        <sz val="10"/>
        <rFont val="Arial"/>
        <family val="2"/>
      </rPr>
      <t>S1</t>
    </r>
  </si>
  <si>
    <r>
      <t>m</t>
    </r>
    <r>
      <rPr>
        <vertAlign val="subscript"/>
        <sz val="10"/>
        <rFont val="Arial"/>
        <family val="2"/>
      </rPr>
      <t>fg</t>
    </r>
  </si>
  <si>
    <r>
      <t>h</t>
    </r>
    <r>
      <rPr>
        <vertAlign val="subscript"/>
        <sz val="10"/>
        <rFont val="Arial"/>
        <family val="2"/>
      </rPr>
      <t>S1</t>
    </r>
  </si>
  <si>
    <r>
      <t>P</t>
    </r>
    <r>
      <rPr>
        <vertAlign val="subscript"/>
        <sz val="10"/>
        <rFont val="Arial"/>
        <family val="2"/>
      </rPr>
      <t>GT</t>
    </r>
  </si>
  <si>
    <r>
      <t>Q</t>
    </r>
    <r>
      <rPr>
        <vertAlign val="subscript"/>
        <sz val="10"/>
        <rFont val="Arial"/>
        <family val="2"/>
      </rPr>
      <t>be</t>
    </r>
  </si>
  <si>
    <t>NAGYNYOMÁS</t>
  </si>
  <si>
    <t>[bar]</t>
  </si>
  <si>
    <t>[°C]</t>
  </si>
  <si>
    <t>[kJ/kg]</t>
  </si>
  <si>
    <t>[kg/s]</t>
  </si>
  <si>
    <t>[MW]</t>
  </si>
  <si>
    <t>[kJ/kg/K]</t>
  </si>
  <si>
    <t>[kW]</t>
  </si>
  <si>
    <t>[%]</t>
  </si>
  <si>
    <r>
      <t>t</t>
    </r>
    <r>
      <rPr>
        <vertAlign val="subscript"/>
        <sz val="10"/>
        <rFont val="Arial"/>
        <family val="2"/>
      </rPr>
      <t>S3</t>
    </r>
  </si>
  <si>
    <r>
      <t>p</t>
    </r>
    <r>
      <rPr>
        <b/>
        <vertAlign val="subscript"/>
        <sz val="10"/>
        <rFont val="Arial"/>
        <family val="2"/>
      </rPr>
      <t>sat</t>
    </r>
  </si>
  <si>
    <r>
      <t>t</t>
    </r>
    <r>
      <rPr>
        <b/>
        <vertAlign val="subscript"/>
        <sz val="10"/>
        <rFont val="Arial"/>
        <family val="2"/>
      </rPr>
      <t>sat</t>
    </r>
  </si>
  <si>
    <r>
      <t>t</t>
    </r>
    <r>
      <rPr>
        <b/>
        <vertAlign val="subscript"/>
        <sz val="10"/>
        <rFont val="Arial"/>
        <family val="2"/>
      </rPr>
      <t>pp</t>
    </r>
  </si>
  <si>
    <r>
      <t>h</t>
    </r>
    <r>
      <rPr>
        <b/>
        <vertAlign val="subscript"/>
        <sz val="10"/>
        <rFont val="Arial"/>
        <family val="2"/>
      </rPr>
      <t>S2</t>
    </r>
  </si>
  <si>
    <r>
      <t>h</t>
    </r>
    <r>
      <rPr>
        <b/>
        <vertAlign val="subscript"/>
        <sz val="10"/>
        <rFont val="Arial"/>
        <family val="2"/>
      </rPr>
      <t>L</t>
    </r>
  </si>
  <si>
    <r>
      <t>h</t>
    </r>
    <r>
      <rPr>
        <b/>
        <vertAlign val="subscript"/>
        <sz val="10"/>
        <rFont val="Arial"/>
        <family val="2"/>
      </rPr>
      <t>V</t>
    </r>
  </si>
  <si>
    <r>
      <t>h</t>
    </r>
    <r>
      <rPr>
        <b/>
        <vertAlign val="subscript"/>
        <sz val="10"/>
        <rFont val="Arial"/>
        <family val="2"/>
      </rPr>
      <t>S3</t>
    </r>
  </si>
  <si>
    <r>
      <t>m</t>
    </r>
    <r>
      <rPr>
        <b/>
        <vertAlign val="subscript"/>
        <sz val="10"/>
        <rFont val="Arial"/>
        <family val="2"/>
      </rPr>
      <t>tv</t>
    </r>
  </si>
  <si>
    <r>
      <t>Q</t>
    </r>
    <r>
      <rPr>
        <b/>
        <vertAlign val="subscript"/>
        <sz val="10"/>
        <rFont val="Arial"/>
        <family val="2"/>
      </rPr>
      <t>VH</t>
    </r>
  </si>
  <si>
    <r>
      <t>Q</t>
    </r>
    <r>
      <rPr>
        <b/>
        <vertAlign val="subscript"/>
        <sz val="10"/>
        <rFont val="Arial"/>
        <family val="2"/>
      </rPr>
      <t>ELG</t>
    </r>
  </si>
  <si>
    <r>
      <t>Q</t>
    </r>
    <r>
      <rPr>
        <b/>
        <vertAlign val="subscript"/>
        <sz val="10"/>
        <rFont val="Arial"/>
        <family val="2"/>
      </rPr>
      <t>TH</t>
    </r>
  </si>
  <si>
    <r>
      <t>Q</t>
    </r>
    <r>
      <rPr>
        <b/>
        <vertAlign val="subscript"/>
        <sz val="10"/>
        <rFont val="Arial"/>
        <family val="2"/>
      </rPr>
      <t>HH</t>
    </r>
  </si>
  <si>
    <r>
      <t>T</t>
    </r>
    <r>
      <rPr>
        <b/>
        <vertAlign val="subscript"/>
        <sz val="10"/>
        <rFont val="Arial"/>
        <family val="2"/>
      </rPr>
      <t>5</t>
    </r>
  </si>
  <si>
    <r>
      <t>s</t>
    </r>
    <r>
      <rPr>
        <b/>
        <vertAlign val="subscript"/>
        <sz val="10"/>
        <rFont val="Arial"/>
        <family val="2"/>
      </rPr>
      <t>S3</t>
    </r>
  </si>
  <si>
    <r>
      <t>h</t>
    </r>
    <r>
      <rPr>
        <b/>
        <vertAlign val="subscript"/>
        <sz val="10"/>
        <rFont val="Arial"/>
        <family val="2"/>
      </rPr>
      <t>S4</t>
    </r>
  </si>
  <si>
    <r>
      <t>h</t>
    </r>
    <r>
      <rPr>
        <b/>
        <vertAlign val="subscript"/>
        <sz val="10"/>
        <rFont val="Arial"/>
        <family val="2"/>
      </rPr>
      <t>S4*</t>
    </r>
  </si>
  <si>
    <r>
      <t>P</t>
    </r>
    <r>
      <rPr>
        <b/>
        <vertAlign val="subscript"/>
        <sz val="10"/>
        <rFont val="Arial"/>
        <family val="2"/>
      </rPr>
      <t>ST</t>
    </r>
  </si>
  <si>
    <r>
      <t>P</t>
    </r>
    <r>
      <rPr>
        <b/>
        <vertAlign val="subscript"/>
        <sz val="10"/>
        <rFont val="Arial"/>
        <family val="2"/>
      </rPr>
      <t>sziv</t>
    </r>
  </si>
  <si>
    <r>
      <t>P</t>
    </r>
    <r>
      <rPr>
        <b/>
        <vertAlign val="subscript"/>
        <sz val="10"/>
        <rFont val="Arial"/>
        <family val="2"/>
      </rPr>
      <t>CCGT</t>
    </r>
  </si>
  <si>
    <r>
      <rPr>
        <b/>
        <sz val="10"/>
        <rFont val="Symbol"/>
        <family val="1"/>
      </rPr>
      <t>h</t>
    </r>
    <r>
      <rPr>
        <b/>
        <vertAlign val="subscript"/>
        <sz val="10"/>
        <rFont val="Arial"/>
        <family val="2"/>
      </rPr>
      <t>CCGT</t>
    </r>
  </si>
  <si>
    <r>
      <rPr>
        <b/>
        <sz val="10"/>
        <rFont val="Symbol"/>
        <family val="1"/>
      </rPr>
      <t>h</t>
    </r>
    <r>
      <rPr>
        <b/>
        <vertAlign val="subscript"/>
        <sz val="10"/>
        <rFont val="Arial"/>
        <family val="2"/>
      </rPr>
      <t>STEAM</t>
    </r>
  </si>
  <si>
    <r>
      <t>T</t>
    </r>
    <r>
      <rPr>
        <b/>
        <vertAlign val="subscript"/>
        <sz val="10"/>
        <rFont val="Arial"/>
        <family val="2"/>
      </rPr>
      <t>be</t>
    </r>
  </si>
  <si>
    <r>
      <t>x</t>
    </r>
    <r>
      <rPr>
        <b/>
        <vertAlign val="subscript"/>
        <sz val="10"/>
        <rFont val="Arial"/>
        <family val="2"/>
      </rPr>
      <t>S4*</t>
    </r>
  </si>
  <si>
    <r>
      <rPr>
        <sz val="10"/>
        <rFont val="Palatino Linotype"/>
        <family val="1"/>
      </rPr>
      <t>Δ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pp</t>
    </r>
  </si>
  <si>
    <r>
      <t>t</t>
    </r>
    <r>
      <rPr>
        <vertAlign val="subscript"/>
        <sz val="10"/>
        <rFont val="Arial"/>
        <family val="2"/>
      </rPr>
      <t>fg</t>
    </r>
  </si>
  <si>
    <r>
      <t>t</t>
    </r>
    <r>
      <rPr>
        <vertAlign val="subscript"/>
        <sz val="10"/>
        <rFont val="Arial"/>
        <family val="2"/>
      </rPr>
      <t>gőz</t>
    </r>
  </si>
  <si>
    <r>
      <t>Egy gáz/gőz kombinált ciklusú erőmű (CCGT) az alábbi ábra szerinti kapcsolásban üzemel. A gázturbinás blokk 82% hatásfokú kompresszora 1 bar nyomású, 15 °C hőmérsékletű és 500 kg/s tömegáramú levegőt szív be, majd azt 12 bar nyomásra komprimálja. A levegő adiabatikus kitevője 1,4, izobár fajhője 1004,5 J/(kg</t>
    </r>
    <r>
      <rPr>
        <sz val="10"/>
        <rFont val="MaplePi"/>
        <family val="0"/>
      </rPr>
      <t>×</t>
    </r>
    <r>
      <rPr>
        <sz val="10"/>
        <rFont val="Arial"/>
        <family val="0"/>
      </rPr>
      <t>K), állandónak tekinthető. A füstgáz adiabatikus kitevője 1,33, izobár fajhője 1004,5 J/(kg</t>
    </r>
    <r>
      <rPr>
        <sz val="10"/>
        <rFont val="MaplePi"/>
        <family val="0"/>
      </rPr>
      <t>×</t>
    </r>
    <r>
      <rPr>
        <sz val="10"/>
        <rFont val="Arial"/>
        <family val="0"/>
      </rPr>
      <t xml:space="preserve">K), állandónak tekinthető. Az égőtérből távozó füstgáz hőmérséklete 1450 K. A füstgáz a 92% hatásfokú turbinában környezeti nyomásig expandál. A tüzelőanyag földgáz, melynek fűtőértéke 40 MJ/kg, entalpiája elhanyagolható.
A hőhasznosító kazánban a minimális hőfokrés a víz/gőz és a füstgáz között 15 °C. A gőzturbina hatásfoka 80%. A tápszivattyú munkája adiabatikus és reverzibilis.
– Számítsa ki a kombinált ciklusú erőmű eredő hatásfokát és ábrázolja diagramban a gőzfejlesztési nyomás függvényében!
– Ábrázolja léptékhelyesen a hőhasznosító kazánban végbemenő folyamatokat T-Q diagramban!
</t>
    </r>
  </si>
  <si>
    <r>
      <t>Egy gáz/gőz kombinált ciklusú erőmű (CCGT) az alábbi ábra szerinti kapcsolásban üzemel. A gázturbinás blokk 82% hatásfokú kompresszora 1 bar nyomású, 15 °C hőmérsékletű és 500 kg/s tömegáramú levegőt szív be, majd azt 12 bar nyomásra komprimálja. A levegő adiabatikus kitevője 1,4, izobár fajhője 1004,5 J/(kg</t>
    </r>
    <r>
      <rPr>
        <sz val="10"/>
        <rFont val="MaplePi"/>
        <family val="0"/>
      </rPr>
      <t>×</t>
    </r>
    <r>
      <rPr>
        <sz val="10"/>
        <rFont val="Arial"/>
        <family val="2"/>
      </rPr>
      <t xml:space="preserve">K), állandónak tekinthető. A füstgáz adiabatikus kitevője 1,33, izobár fajhője megegyezik a levegőjével és állandónak tekinthető. Az égőtérből távozó füstgáz hőmérséklete 1450 K. A füstgáz a 92% hatásfokú turbinában környezeti nyomásig expandál. A tüzelőanyag földgáz, melynek fűtőértéke 40 MJ/kg, entalpiája elhanyagolható.
A hőhasznosító kazánban a füstgázt 125 °C-ra hűtik le. A hőhasznosító kazánba 70 kg tápvíz lép be másodpercenként. A minimális hőfokrés a víz és a füstgáz között 15 °C. A gőzturbina hatásfoka 80 %. A tápszivattyú munkája adiabatikus és reverzibilis.
– Számítsa ki a kombinált ciklusú erőmű eredő hatásfokát!
– Ábrázolja léptékhelyesen a hőhasznosító kazánban végbemenő folyamatokat T-Q diagramban!
</t>
    </r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</si>
</sst>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0.0000E+00"/>
    <numFmt numFmtId="185" formatCode="0.0"/>
    <numFmt numFmtId="186" formatCode="0.00000E+00"/>
    <numFmt numFmtId="187" formatCode="0.000000E+00"/>
    <numFmt numFmtId="188" formatCode="[$€-2]\ #,##0.00_);[Red]\([$€-2]\ #,##0.00\)"/>
    <numFmt numFmtId="189" formatCode="0.000"/>
    <numFmt numFmtId="190" formatCode="0.0000000"/>
    <numFmt numFmtId="191" formatCode="0.00000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0.0000000E+00"/>
    <numFmt numFmtId="196" formatCode="&quot;Igen&quot;;&quot;Igen&quot;;&quot;Nem&quot;"/>
    <numFmt numFmtId="197" formatCode="&quot;Igaz&quot;;&quot;Igaz&quot;;&quot;Hamis&quot;"/>
    <numFmt numFmtId="198" formatCode="&quot;Be&quot;;&quot;Be&quot;;&quot;Ki&quot;"/>
    <numFmt numFmtId="199" formatCode="[$€-2]\ #\ ##,000_);[Red]\([$€-2]\ #\ ##,000\)"/>
    <numFmt numFmtId="200" formatCode="[$-40E]yyyy\.\ mmmm\ d\."/>
    <numFmt numFmtId="201" formatCode="0.0%"/>
    <numFmt numFmtId="202" formatCode="0.000%"/>
    <numFmt numFmtId="203" formatCode="0.0000%"/>
    <numFmt numFmtId="204" formatCode="0.00000%"/>
    <numFmt numFmtId="205" formatCode="0.000000"/>
    <numFmt numFmtId="206" formatCode="[$¥€-2]\ #\ ##,000_);[Red]\([$€-2]\ #\ ##,000\)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sz val="14"/>
      <name val="Arial"/>
      <family val="2"/>
    </font>
    <font>
      <b/>
      <u val="single"/>
      <sz val="8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MaplePi"/>
      <family val="0"/>
    </font>
    <font>
      <sz val="10"/>
      <name val="Palatino Linotype"/>
      <family val="1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  <bgColor indexed="41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8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3" fontId="1" fillId="0" borderId="0" xfId="0" applyNumberFormat="1" applyFont="1" applyAlignment="1">
      <alignment/>
    </xf>
    <xf numFmtId="0" fontId="5" fillId="0" borderId="0" xfId="0" applyFont="1" applyAlignment="1">
      <alignment/>
    </xf>
    <xf numFmtId="18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43" applyFont="1" applyAlignment="1" applyProtection="1">
      <alignment/>
      <protection/>
    </xf>
    <xf numFmtId="0" fontId="9" fillId="0" borderId="0" xfId="43" applyFont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0" xfId="0" applyFont="1" applyAlignment="1">
      <alignment/>
    </xf>
    <xf numFmtId="0" fontId="9" fillId="0" borderId="0" xfId="43" applyFont="1" applyAlignment="1" applyProtection="1">
      <alignment/>
      <protection/>
    </xf>
    <xf numFmtId="0" fontId="2" fillId="0" borderId="0" xfId="43" applyAlignment="1" applyProtection="1">
      <alignment/>
      <protection/>
    </xf>
    <xf numFmtId="0" fontId="1" fillId="0" borderId="0" xfId="0" applyFont="1" applyFill="1" applyBorder="1" applyAlignment="1">
      <alignment/>
    </xf>
    <xf numFmtId="18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1" fillId="0" borderId="10" xfId="0" applyFont="1" applyFill="1" applyBorder="1" applyAlignment="1">
      <alignment/>
    </xf>
    <xf numFmtId="185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15" xfId="0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189" fontId="1" fillId="34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83" fontId="1" fillId="2" borderId="13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ill="1" applyBorder="1" applyAlignment="1">
      <alignment/>
    </xf>
    <xf numFmtId="0" fontId="0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14" fillId="10" borderId="15" xfId="0" applyFont="1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10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11" xfId="0" applyFont="1" applyFill="1" applyBorder="1" applyAlignment="1">
      <alignment vertical="center"/>
    </xf>
    <xf numFmtId="0" fontId="0" fillId="10" borderId="12" xfId="0" applyFont="1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4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2" fontId="0" fillId="2" borderId="13" xfId="0" applyNumberForma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83" fontId="0" fillId="2" borderId="13" xfId="0" applyNumberForma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183" fontId="0" fillId="2" borderId="0" xfId="0" applyNumberFormat="1" applyFill="1" applyBorder="1" applyAlignment="1">
      <alignment vertical="center"/>
    </xf>
    <xf numFmtId="0" fontId="0" fillId="2" borderId="11" xfId="0" applyFont="1" applyFill="1" applyBorder="1" applyAlignment="1" quotePrefix="1">
      <alignment vertical="center"/>
    </xf>
    <xf numFmtId="0" fontId="0" fillId="2" borderId="14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62" fillId="2" borderId="13" xfId="0" applyNumberFormat="1" applyFont="1" applyFill="1" applyBorder="1" applyAlignment="1">
      <alignment vertical="center"/>
    </xf>
    <xf numFmtId="2" fontId="62" fillId="2" borderId="0" xfId="0" applyNumberFormat="1" applyFont="1" applyFill="1" applyBorder="1" applyAlignment="1">
      <alignment vertical="center"/>
    </xf>
    <xf numFmtId="2" fontId="0" fillId="35" borderId="0" xfId="0" applyNumberFormat="1" applyFill="1" applyBorder="1" applyAlignment="1">
      <alignment vertical="center"/>
    </xf>
    <xf numFmtId="2" fontId="63" fillId="35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quotePrefix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0" fillId="0" borderId="0" xfId="57">
      <alignment/>
      <protection/>
    </xf>
    <xf numFmtId="0" fontId="0" fillId="0" borderId="0" xfId="57" applyFont="1">
      <alignment/>
      <protection/>
    </xf>
    <xf numFmtId="1" fontId="0" fillId="0" borderId="0" xfId="57" applyNumberFormat="1">
      <alignment/>
      <protection/>
    </xf>
    <xf numFmtId="2" fontId="0" fillId="0" borderId="0" xfId="57" applyNumberFormat="1">
      <alignment/>
      <protection/>
    </xf>
    <xf numFmtId="2" fontId="0" fillId="2" borderId="0" xfId="57" applyNumberFormat="1" applyFill="1" applyBorder="1" applyAlignment="1">
      <alignment vertical="center"/>
      <protection/>
    </xf>
    <xf numFmtId="2" fontId="0" fillId="2" borderId="0" xfId="57" applyNumberFormat="1" applyFont="1" applyFill="1" applyBorder="1" applyAlignment="1">
      <alignment vertical="center"/>
      <protection/>
    </xf>
    <xf numFmtId="0" fontId="0" fillId="2" borderId="10" xfId="57" applyFont="1" applyFill="1" applyBorder="1" applyAlignment="1">
      <alignment vertical="center"/>
      <protection/>
    </xf>
    <xf numFmtId="2" fontId="0" fillId="2" borderId="0" xfId="57" applyNumberFormat="1" applyFill="1" applyAlignment="1">
      <alignment vertical="center"/>
      <protection/>
    </xf>
    <xf numFmtId="2" fontId="0" fillId="2" borderId="13" xfId="57" applyNumberFormat="1" applyFill="1" applyBorder="1" applyAlignment="1">
      <alignment vertical="center"/>
      <protection/>
    </xf>
    <xf numFmtId="0" fontId="0" fillId="0" borderId="0" xfId="57" applyFont="1" applyAlignment="1">
      <alignment horizontal="center" vertical="center"/>
      <protection/>
    </xf>
    <xf numFmtId="2" fontId="0" fillId="0" borderId="0" xfId="57" applyNumberFormat="1" applyFont="1" applyAlignment="1">
      <alignment horizontal="center" vertical="center"/>
      <protection/>
    </xf>
    <xf numFmtId="185" fontId="62" fillId="0" borderId="0" xfId="57" applyNumberFormat="1" applyFont="1" applyAlignment="1">
      <alignment horizontal="center" vertical="center"/>
      <protection/>
    </xf>
    <xf numFmtId="2" fontId="62" fillId="0" borderId="0" xfId="57" applyNumberFormat="1" applyFont="1">
      <alignment/>
      <protection/>
    </xf>
    <xf numFmtId="2" fontId="0" fillId="0" borderId="0" xfId="57" applyNumberFormat="1" applyAlignment="1">
      <alignment horizontal="center" vertical="center"/>
      <protection/>
    </xf>
    <xf numFmtId="183" fontId="0" fillId="0" borderId="0" xfId="57" applyNumberFormat="1" applyAlignment="1">
      <alignment horizontal="center" vertical="center"/>
      <protection/>
    </xf>
    <xf numFmtId="189" fontId="62" fillId="0" borderId="0" xfId="57" applyNumberFormat="1" applyFont="1">
      <alignment/>
      <protection/>
    </xf>
    <xf numFmtId="0" fontId="62" fillId="0" borderId="0" xfId="57" applyFont="1">
      <alignment/>
      <protection/>
    </xf>
    <xf numFmtId="189" fontId="0" fillId="0" borderId="0" xfId="57" applyNumberFormat="1">
      <alignment/>
      <protection/>
    </xf>
    <xf numFmtId="10" fontId="0" fillId="0" borderId="0" xfId="57" applyNumberFormat="1">
      <alignment/>
      <protection/>
    </xf>
    <xf numFmtId="2" fontId="64" fillId="0" borderId="0" xfId="57" applyNumberFormat="1" applyFont="1" applyAlignment="1">
      <alignment horizontal="center" vertical="center"/>
      <protection/>
    </xf>
    <xf numFmtId="0" fontId="0" fillId="0" borderId="0" xfId="57" applyFont="1" applyAlignment="1">
      <alignment vertical="center"/>
      <protection/>
    </xf>
    <xf numFmtId="0" fontId="64" fillId="0" borderId="0" xfId="57" applyFont="1" applyAlignment="1">
      <alignment horizontal="center" vertical="center"/>
      <protection/>
    </xf>
    <xf numFmtId="0" fontId="1" fillId="0" borderId="18" xfId="57" applyFont="1" applyBorder="1" applyAlignment="1">
      <alignment horizontal="center" vertical="center"/>
      <protection/>
    </xf>
    <xf numFmtId="0" fontId="62" fillId="0" borderId="19" xfId="57" applyFont="1" applyBorder="1" applyAlignment="1">
      <alignment horizontal="center" vertical="center"/>
      <protection/>
    </xf>
    <xf numFmtId="0" fontId="62" fillId="0" borderId="20" xfId="57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2" fontId="1" fillId="0" borderId="16" xfId="57" applyNumberFormat="1" applyFont="1" applyBorder="1" applyAlignment="1">
      <alignment horizontal="center" vertical="center"/>
      <protection/>
    </xf>
    <xf numFmtId="0" fontId="1" fillId="0" borderId="17" xfId="57" applyFont="1" applyBorder="1" applyAlignment="1">
      <alignment horizontal="center" vertical="center"/>
      <protection/>
    </xf>
    <xf numFmtId="185" fontId="64" fillId="0" borderId="10" xfId="57" applyNumberFormat="1" applyFont="1" applyBorder="1" applyAlignment="1">
      <alignment horizontal="center" vertical="center"/>
      <protection/>
    </xf>
    <xf numFmtId="185" fontId="64" fillId="0" borderId="0" xfId="57" applyNumberFormat="1" applyFont="1" applyBorder="1" applyAlignment="1">
      <alignment horizontal="center" vertical="center"/>
      <protection/>
    </xf>
    <xf numFmtId="2" fontId="64" fillId="0" borderId="0" xfId="57" applyNumberFormat="1" applyFont="1" applyBorder="1" applyAlignment="1">
      <alignment horizontal="center"/>
      <protection/>
    </xf>
    <xf numFmtId="2" fontId="64" fillId="0" borderId="0" xfId="57" applyNumberFormat="1" applyFont="1" applyBorder="1" applyAlignment="1">
      <alignment horizontal="center" vertical="center"/>
      <protection/>
    </xf>
    <xf numFmtId="183" fontId="64" fillId="0" borderId="0" xfId="57" applyNumberFormat="1" applyFont="1" applyBorder="1" applyAlignment="1">
      <alignment horizontal="center" vertical="center"/>
      <protection/>
    </xf>
    <xf numFmtId="201" fontId="64" fillId="0" borderId="11" xfId="57" applyNumberFormat="1" applyFont="1" applyBorder="1" applyAlignment="1">
      <alignment horizontal="center" vertical="center"/>
      <protection/>
    </xf>
    <xf numFmtId="185" fontId="64" fillId="0" borderId="12" xfId="57" applyNumberFormat="1" applyFont="1" applyBorder="1" applyAlignment="1">
      <alignment horizontal="center" vertical="center"/>
      <protection/>
    </xf>
    <xf numFmtId="185" fontId="64" fillId="0" borderId="13" xfId="57" applyNumberFormat="1" applyFont="1" applyBorder="1" applyAlignment="1">
      <alignment horizontal="center" vertical="center"/>
      <protection/>
    </xf>
    <xf numFmtId="2" fontId="64" fillId="0" borderId="13" xfId="57" applyNumberFormat="1" applyFont="1" applyBorder="1" applyAlignment="1">
      <alignment horizontal="center"/>
      <protection/>
    </xf>
    <xf numFmtId="2" fontId="64" fillId="0" borderId="13" xfId="57" applyNumberFormat="1" applyFont="1" applyBorder="1" applyAlignment="1">
      <alignment horizontal="center" vertical="center"/>
      <protection/>
    </xf>
    <xf numFmtId="183" fontId="64" fillId="0" borderId="13" xfId="57" applyNumberFormat="1" applyFont="1" applyBorder="1" applyAlignment="1">
      <alignment horizontal="center" vertical="center"/>
      <protection/>
    </xf>
    <xf numFmtId="201" fontId="64" fillId="0" borderId="14" xfId="57" applyNumberFormat="1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/>
      <protection/>
    </xf>
    <xf numFmtId="2" fontId="1" fillId="0" borderId="13" xfId="57" applyNumberFormat="1" applyFont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center"/>
      <protection/>
    </xf>
    <xf numFmtId="10" fontId="64" fillId="0" borderId="10" xfId="57" applyNumberFormat="1" applyFont="1" applyBorder="1" applyAlignment="1">
      <alignment horizontal="center" vertical="center"/>
      <protection/>
    </xf>
    <xf numFmtId="10" fontId="64" fillId="0" borderId="12" xfId="57" applyNumberFormat="1" applyFont="1" applyBorder="1" applyAlignment="1">
      <alignment horizontal="center" vertical="center"/>
      <protection/>
    </xf>
    <xf numFmtId="2" fontId="64" fillId="0" borderId="10" xfId="57" applyNumberFormat="1" applyFont="1" applyBorder="1" applyAlignment="1">
      <alignment horizontal="center" vertical="center"/>
      <protection/>
    </xf>
    <xf numFmtId="10" fontId="64" fillId="0" borderId="11" xfId="57" applyNumberFormat="1" applyFont="1" applyBorder="1" applyAlignment="1">
      <alignment horizontal="center" vertical="center"/>
      <protection/>
    </xf>
    <xf numFmtId="2" fontId="64" fillId="0" borderId="12" xfId="57" applyNumberFormat="1" applyFont="1" applyBorder="1" applyAlignment="1">
      <alignment horizontal="center" vertical="center"/>
      <protection/>
    </xf>
    <xf numFmtId="10" fontId="64" fillId="0" borderId="14" xfId="57" applyNumberFormat="1" applyFont="1" applyBorder="1" applyAlignment="1">
      <alignment horizontal="center" vertical="center"/>
      <protection/>
    </xf>
    <xf numFmtId="2" fontId="64" fillId="0" borderId="10" xfId="57" applyNumberFormat="1" applyFont="1" applyBorder="1" applyAlignment="1">
      <alignment horizontal="center"/>
      <protection/>
    </xf>
    <xf numFmtId="2" fontId="64" fillId="0" borderId="11" xfId="57" applyNumberFormat="1" applyFont="1" applyBorder="1" applyAlignment="1">
      <alignment horizontal="center" vertical="center"/>
      <protection/>
    </xf>
    <xf numFmtId="2" fontId="64" fillId="0" borderId="12" xfId="57" applyNumberFormat="1" applyFont="1" applyBorder="1" applyAlignment="1">
      <alignment horizontal="center"/>
      <protection/>
    </xf>
    <xf numFmtId="2" fontId="64" fillId="0" borderId="14" xfId="57" applyNumberFormat="1" applyFont="1" applyBorder="1" applyAlignment="1">
      <alignment horizontal="center" vertical="center"/>
      <protection/>
    </xf>
    <xf numFmtId="2" fontId="0" fillId="2" borderId="13" xfId="57" applyNumberFormat="1" applyFill="1" applyBorder="1" applyAlignment="1">
      <alignment horizontal="right" vertical="center"/>
      <protection/>
    </xf>
    <xf numFmtId="2" fontId="0" fillId="0" borderId="0" xfId="57" applyNumberFormat="1" applyFill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0" fontId="0" fillId="0" borderId="0" xfId="57" applyAlignment="1">
      <alignment vertical="center"/>
      <protection/>
    </xf>
    <xf numFmtId="0" fontId="14" fillId="10" borderId="15" xfId="57" applyFont="1" applyFill="1" applyBorder="1" applyAlignment="1">
      <alignment vertical="center"/>
      <protection/>
    </xf>
    <xf numFmtId="0" fontId="0" fillId="10" borderId="16" xfId="57" applyFill="1" applyBorder="1" applyAlignment="1">
      <alignment vertical="center"/>
      <protection/>
    </xf>
    <xf numFmtId="0" fontId="0" fillId="10" borderId="17" xfId="57" applyFill="1" applyBorder="1" applyAlignment="1">
      <alignment vertical="center"/>
      <protection/>
    </xf>
    <xf numFmtId="0" fontId="14" fillId="0" borderId="10" xfId="57" applyFont="1" applyFill="1" applyBorder="1" applyAlignment="1">
      <alignment vertical="center"/>
      <protection/>
    </xf>
    <xf numFmtId="0" fontId="0" fillId="0" borderId="0" xfId="57" applyFill="1" applyBorder="1" applyAlignment="1">
      <alignment vertical="center"/>
      <protection/>
    </xf>
    <xf numFmtId="0" fontId="0" fillId="10" borderId="10" xfId="57" applyFont="1" applyFill="1" applyBorder="1" applyAlignment="1">
      <alignment vertical="center"/>
      <protection/>
    </xf>
    <xf numFmtId="0" fontId="0" fillId="10" borderId="0" xfId="57" applyFill="1" applyBorder="1" applyAlignment="1">
      <alignment vertical="center"/>
      <protection/>
    </xf>
    <xf numFmtId="0" fontId="0" fillId="10" borderId="11" xfId="57" applyFont="1" applyFill="1" applyBorder="1" applyAlignment="1">
      <alignment vertical="center"/>
      <protection/>
    </xf>
    <xf numFmtId="0" fontId="0" fillId="10" borderId="0" xfId="57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10" xfId="57" applyFill="1" applyBorder="1" applyAlignment="1">
      <alignment vertical="center"/>
      <protection/>
    </xf>
    <xf numFmtId="0" fontId="0" fillId="10" borderId="12" xfId="57" applyFont="1" applyFill="1" applyBorder="1" applyAlignment="1">
      <alignment vertical="center"/>
      <protection/>
    </xf>
    <xf numFmtId="0" fontId="0" fillId="10" borderId="13" xfId="57" applyFill="1" applyBorder="1" applyAlignment="1">
      <alignment vertical="center"/>
      <protection/>
    </xf>
    <xf numFmtId="0" fontId="0" fillId="10" borderId="14" xfId="57" applyFont="1" applyFill="1" applyBorder="1" applyAlignment="1">
      <alignment vertical="center"/>
      <protection/>
    </xf>
    <xf numFmtId="0" fontId="0" fillId="0" borderId="0" xfId="57" applyBorder="1" applyAlignment="1">
      <alignment vertical="center"/>
      <protection/>
    </xf>
    <xf numFmtId="189" fontId="0" fillId="0" borderId="0" xfId="57" applyNumberFormat="1" applyFill="1" applyBorder="1" applyAlignment="1">
      <alignment vertical="center"/>
      <protection/>
    </xf>
    <xf numFmtId="0" fontId="14" fillId="2" borderId="15" xfId="57" applyFont="1" applyFill="1" applyBorder="1" applyAlignment="1">
      <alignment vertical="center"/>
      <protection/>
    </xf>
    <xf numFmtId="0" fontId="0" fillId="2" borderId="16" xfId="57" applyFill="1" applyBorder="1" applyAlignment="1">
      <alignment vertical="center"/>
      <protection/>
    </xf>
    <xf numFmtId="0" fontId="0" fillId="2" borderId="17" xfId="57" applyFill="1" applyBorder="1" applyAlignment="1">
      <alignment vertical="center"/>
      <protection/>
    </xf>
    <xf numFmtId="0" fontId="0" fillId="2" borderId="0" xfId="57" applyFont="1" applyFill="1" applyBorder="1" applyAlignment="1">
      <alignment vertical="center"/>
      <protection/>
    </xf>
    <xf numFmtId="0" fontId="0" fillId="2" borderId="11" xfId="57" applyFont="1" applyFill="1" applyBorder="1" applyAlignment="1">
      <alignment vertical="center"/>
      <protection/>
    </xf>
    <xf numFmtId="0" fontId="0" fillId="2" borderId="11" xfId="57" applyFont="1" applyFill="1" applyBorder="1" applyAlignment="1" quotePrefix="1">
      <alignment vertical="center"/>
      <protection/>
    </xf>
    <xf numFmtId="0" fontId="0" fillId="2" borderId="12" xfId="57" applyFont="1" applyFill="1" applyBorder="1" applyAlignment="1">
      <alignment vertical="center"/>
      <protection/>
    </xf>
    <xf numFmtId="0" fontId="0" fillId="2" borderId="14" xfId="57" applyFont="1" applyFill="1" applyBorder="1" applyAlignment="1">
      <alignment vertical="center"/>
      <protection/>
    </xf>
    <xf numFmtId="0" fontId="0" fillId="2" borderId="0" xfId="57" applyFont="1" applyFill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0" fillId="2" borderId="13" xfId="57" applyFont="1" applyFill="1" applyBorder="1" applyAlignment="1">
      <alignment vertical="center"/>
      <protection/>
    </xf>
    <xf numFmtId="183" fontId="0" fillId="2" borderId="0" xfId="57" applyNumberFormat="1" applyFill="1" applyBorder="1" applyAlignment="1">
      <alignment vertical="center"/>
      <protection/>
    </xf>
    <xf numFmtId="2" fontId="0" fillId="0" borderId="0" xfId="57" applyNumberFormat="1" applyFill="1" applyAlignment="1">
      <alignment vertical="center"/>
      <protection/>
    </xf>
    <xf numFmtId="0" fontId="1" fillId="10" borderId="0" xfId="57" applyFont="1" applyFill="1" applyAlignment="1">
      <alignment horizontal="center" vertical="center"/>
      <protection/>
    </xf>
    <xf numFmtId="0" fontId="0" fillId="7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7" borderId="0" xfId="57" applyFont="1" applyFill="1" applyAlignment="1">
      <alignment horizontal="left" vertical="top" wrapText="1"/>
      <protection/>
    </xf>
    <xf numFmtId="0" fontId="0" fillId="7" borderId="0" xfId="57" applyFill="1" applyAlignment="1">
      <alignment horizontal="left" vertical="top" wrapText="1"/>
      <protection/>
    </xf>
    <xf numFmtId="0" fontId="0" fillId="0" borderId="0" xfId="57" applyFont="1" applyAlignment="1">
      <alignment horizontal="center" vertical="center"/>
      <protection/>
    </xf>
    <xf numFmtId="0" fontId="10" fillId="0" borderId="0" xfId="57" applyFont="1" applyAlignment="1">
      <alignment horizontal="center" vertical="center"/>
      <protection/>
    </xf>
    <xf numFmtId="0" fontId="1" fillId="2" borderId="13" xfId="57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 - Q diagram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785"/>
          <c:w val="0.9405"/>
          <c:h val="0.8085"/>
        </c:manualLayout>
      </c:layout>
      <c:scatterChart>
        <c:scatterStyle val="smoothMarker"/>
        <c:varyColors val="0"/>
        <c:ser>
          <c:idx val="0"/>
          <c:order val="0"/>
          <c:tx>
            <c:v>Füstgáz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CCGT!$L$25:$L$225</c:f>
              <c:numCache/>
            </c:numRef>
          </c:xVal>
          <c:yVal>
            <c:numRef>
              <c:f>CCGT!$J$25:$J$225</c:f>
              <c:numCache/>
            </c:numRef>
          </c:yVal>
          <c:smooth val="1"/>
        </c:ser>
        <c:ser>
          <c:idx val="1"/>
          <c:order val="1"/>
          <c:tx>
            <c:v>Gőz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CCGT!$L$25:$L$225</c:f>
              <c:numCache/>
            </c:numRef>
          </c:xVal>
          <c:yVal>
            <c:numRef>
              <c:f>CCGT!$K$25:$K$225</c:f>
              <c:numCache/>
            </c:numRef>
          </c:yVal>
          <c:smooth val="1"/>
        </c:ser>
        <c:axId val="9626014"/>
        <c:axId val="19525263"/>
      </c:scatterChart>
      <c:valAx>
        <c:axId val="9626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[MW]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5263"/>
        <c:crosses val="autoZero"/>
        <c:crossBetween val="midCat"/>
        <c:dispUnits/>
      </c:valAx>
      <c:valAx>
        <c:axId val="1952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Hőmérséklet 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60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175"/>
          <c:y val="0.9445"/>
          <c:w val="0.23375"/>
          <c:h val="0.0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995"/>
          <c:w val="0.96975"/>
          <c:h val="0.826"/>
        </c:manualLayout>
      </c:layout>
      <c:scatterChart>
        <c:scatterStyle val="smoothMarker"/>
        <c:varyColors val="0"/>
        <c:ser>
          <c:idx val="0"/>
          <c:order val="0"/>
          <c:tx>
            <c:v>CCGT POWER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CCGT_p_valt!$B$46:$B$82</c:f>
              <c:numCache/>
            </c:numRef>
          </c:xVal>
          <c:yVal>
            <c:numRef>
              <c:f>CCGT_p_valt!$T$46:$T$82</c:f>
              <c:numCache/>
            </c:numRef>
          </c:yVal>
          <c:smooth val="1"/>
        </c:ser>
        <c:axId val="41509640"/>
        <c:axId val="38042441"/>
      </c:scatterChart>
      <c:valAx>
        <c:axId val="415096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2441"/>
        <c:crosses val="autoZero"/>
        <c:crossBetween val="midCat"/>
        <c:dispUnits/>
      </c:valAx>
      <c:valAx>
        <c:axId val="38042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096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"/>
          <c:y val="0.92975"/>
          <c:w val="0.331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 - Q diagram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5"/>
          <c:w val="0.97725"/>
          <c:h val="0.82"/>
        </c:manualLayout>
      </c:layout>
      <c:scatterChart>
        <c:scatterStyle val="smoothMarker"/>
        <c:varyColors val="0"/>
        <c:ser>
          <c:idx val="0"/>
          <c:order val="0"/>
          <c:tx>
            <c:v>Füstgáz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CCGT_p_valt!$Z$4:$Z$204</c:f>
              <c:numCache/>
            </c:numRef>
          </c:xVal>
          <c:yVal>
            <c:numRef>
              <c:f>CCGT_p_valt!$AA$4:$AA$204</c:f>
              <c:numCache/>
            </c:numRef>
          </c:yVal>
          <c:smooth val="1"/>
        </c:ser>
        <c:ser>
          <c:idx val="1"/>
          <c:order val="1"/>
          <c:tx>
            <c:v>Steam opt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CCGT_p_valt!$Z$4:$Z$204</c:f>
              <c:numCache/>
            </c:numRef>
          </c:xVal>
          <c:yVal>
            <c:numRef>
              <c:f>CCGT_p_valt!$AB$4:$AB$204</c:f>
              <c:numCache/>
            </c:numRef>
          </c:yVal>
          <c:smooth val="1"/>
        </c:ser>
        <c:ser>
          <c:idx val="2"/>
          <c:order val="2"/>
          <c:tx>
            <c:v>Steam NNY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CCGT_p_valt!$AD$4:$AD$204</c:f>
              <c:numCache/>
            </c:numRef>
          </c:xVal>
          <c:yVal>
            <c:numRef>
              <c:f>CCGT_p_valt!$AE$4:$AE$204</c:f>
              <c:numCache/>
            </c:numRef>
          </c:yVal>
          <c:smooth val="1"/>
        </c:ser>
        <c:axId val="6837650"/>
        <c:axId val="61538851"/>
      </c:scatterChart>
      <c:valAx>
        <c:axId val="68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38851"/>
        <c:crosses val="autoZero"/>
        <c:crossBetween val="midCat"/>
        <c:dispUnits/>
      </c:valAx>
      <c:valAx>
        <c:axId val="61538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376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5"/>
          <c:y val="0.926"/>
          <c:w val="0.532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26</xdr:row>
      <xdr:rowOff>28575</xdr:rowOff>
    </xdr:from>
    <xdr:to>
      <xdr:col>25</xdr:col>
      <xdr:colOff>0</xdr:colOff>
      <xdr:row>55</xdr:row>
      <xdr:rowOff>19050</xdr:rowOff>
    </xdr:to>
    <xdr:graphicFrame>
      <xdr:nvGraphicFramePr>
        <xdr:cNvPr id="1" name="Diagram 1"/>
        <xdr:cNvGraphicFramePr/>
      </xdr:nvGraphicFramePr>
      <xdr:xfrm>
        <a:off x="8715375" y="4238625"/>
        <a:ext cx="6724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83</xdr:row>
      <xdr:rowOff>123825</xdr:rowOff>
    </xdr:from>
    <xdr:to>
      <xdr:col>9</xdr:col>
      <xdr:colOff>0</xdr:colOff>
      <xdr:row>106</xdr:row>
      <xdr:rowOff>142875</xdr:rowOff>
    </xdr:to>
    <xdr:graphicFrame>
      <xdr:nvGraphicFramePr>
        <xdr:cNvPr id="1" name="Diagram 1"/>
        <xdr:cNvGraphicFramePr/>
      </xdr:nvGraphicFramePr>
      <xdr:xfrm>
        <a:off x="1314450" y="14220825"/>
        <a:ext cx="4343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333375</xdr:colOff>
      <xdr:row>84</xdr:row>
      <xdr:rowOff>66675</xdr:rowOff>
    </xdr:from>
    <xdr:to>
      <xdr:col>21</xdr:col>
      <xdr:colOff>152400</xdr:colOff>
      <xdr:row>106</xdr:row>
      <xdr:rowOff>66675</xdr:rowOff>
    </xdr:to>
    <xdr:graphicFrame>
      <xdr:nvGraphicFramePr>
        <xdr:cNvPr id="2" name="Diagram 1"/>
        <xdr:cNvGraphicFramePr/>
      </xdr:nvGraphicFramePr>
      <xdr:xfrm>
        <a:off x="7239000" y="14325600"/>
        <a:ext cx="59721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x-eng.com/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x-eng.com/" TargetMode="External" /><Relationship Id="rId2" Type="http://schemas.openxmlformats.org/officeDocument/2006/relationships/hyperlink" Target="mailto:magnus@x-eng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8.8515625" style="0" customWidth="1"/>
    <col min="3" max="3" width="9.140625" style="0" customWidth="1"/>
    <col min="6" max="6" width="10.00390625" style="0" bestFit="1" customWidth="1"/>
    <col min="8" max="8" width="10.28125" style="0" customWidth="1"/>
    <col min="9" max="9" width="10.00390625" style="0" bestFit="1" customWidth="1"/>
    <col min="25" max="25" width="9.57421875" style="0" bestFit="1" customWidth="1"/>
  </cols>
  <sheetData>
    <row r="2" spans="2:10" ht="12.75">
      <c r="B2" s="189" t="s">
        <v>387</v>
      </c>
      <c r="C2" s="190"/>
      <c r="D2" s="190"/>
      <c r="E2" s="190"/>
      <c r="F2" s="190"/>
      <c r="G2" s="190"/>
      <c r="H2" s="190"/>
      <c r="I2" s="190"/>
      <c r="J2" s="190"/>
    </row>
    <row r="3" spans="2:23" ht="12.75">
      <c r="B3" s="190"/>
      <c r="C3" s="190"/>
      <c r="D3" s="190"/>
      <c r="E3" s="190"/>
      <c r="F3" s="190"/>
      <c r="G3" s="190"/>
      <c r="H3" s="190"/>
      <c r="I3" s="190"/>
      <c r="J3" s="190"/>
      <c r="W3" s="42"/>
    </row>
    <row r="4" spans="2:26" ht="12.75">
      <c r="B4" s="190"/>
      <c r="C4" s="190"/>
      <c r="D4" s="190"/>
      <c r="E4" s="190"/>
      <c r="F4" s="190"/>
      <c r="G4" s="190"/>
      <c r="H4" s="190"/>
      <c r="I4" s="190"/>
      <c r="J4" s="190"/>
      <c r="W4" s="42"/>
      <c r="X4" s="42"/>
      <c r="Y4" s="42"/>
      <c r="Z4" s="42"/>
    </row>
    <row r="5" spans="2:26" ht="12.75">
      <c r="B5" s="190"/>
      <c r="C5" s="190"/>
      <c r="D5" s="190"/>
      <c r="E5" s="190"/>
      <c r="F5" s="190"/>
      <c r="G5" s="190"/>
      <c r="H5" s="190"/>
      <c r="I5" s="190"/>
      <c r="J5" s="190"/>
      <c r="W5" s="44"/>
      <c r="X5" s="43"/>
      <c r="Z5" s="43"/>
    </row>
    <row r="6" spans="2:26" ht="12.75">
      <c r="B6" s="190"/>
      <c r="C6" s="190"/>
      <c r="D6" s="190"/>
      <c r="E6" s="190"/>
      <c r="F6" s="190"/>
      <c r="G6" s="190"/>
      <c r="H6" s="190"/>
      <c r="I6" s="190"/>
      <c r="J6" s="190"/>
      <c r="W6" s="44"/>
      <c r="X6" s="43"/>
      <c r="Y6" s="43"/>
      <c r="Z6" s="43"/>
    </row>
    <row r="7" spans="2:26" ht="12.75">
      <c r="B7" s="190"/>
      <c r="C7" s="190"/>
      <c r="D7" s="190"/>
      <c r="E7" s="190"/>
      <c r="F7" s="190"/>
      <c r="G7" s="190"/>
      <c r="H7" s="190"/>
      <c r="I7" s="190"/>
      <c r="J7" s="190"/>
      <c r="W7" s="44"/>
      <c r="X7" s="43"/>
      <c r="Y7" s="43"/>
      <c r="Z7" s="43"/>
    </row>
    <row r="8" spans="2:26" ht="12.75">
      <c r="B8" s="190"/>
      <c r="C8" s="190"/>
      <c r="D8" s="190"/>
      <c r="E8" s="190"/>
      <c r="F8" s="190"/>
      <c r="G8" s="190"/>
      <c r="H8" s="190"/>
      <c r="I8" s="190"/>
      <c r="J8" s="190"/>
      <c r="W8" s="44"/>
      <c r="X8" s="43"/>
      <c r="Y8" s="43"/>
      <c r="Z8" s="43"/>
    </row>
    <row r="9" spans="2:26" ht="12.75">
      <c r="B9" s="190"/>
      <c r="C9" s="190"/>
      <c r="D9" s="190"/>
      <c r="E9" s="190"/>
      <c r="F9" s="190"/>
      <c r="G9" s="190"/>
      <c r="H9" s="190"/>
      <c r="I9" s="190"/>
      <c r="J9" s="190"/>
      <c r="W9" s="44"/>
      <c r="X9" s="43"/>
      <c r="Y9" s="43"/>
      <c r="Z9" s="43"/>
    </row>
    <row r="10" spans="2:26" ht="12.75">
      <c r="B10" s="190"/>
      <c r="C10" s="190"/>
      <c r="D10" s="190"/>
      <c r="E10" s="190"/>
      <c r="F10" s="190"/>
      <c r="G10" s="190"/>
      <c r="H10" s="190"/>
      <c r="I10" s="190"/>
      <c r="J10" s="190"/>
      <c r="W10" s="44"/>
      <c r="X10" s="43"/>
      <c r="Y10" s="43"/>
      <c r="Z10" s="43"/>
    </row>
    <row r="11" spans="2:26" ht="12.75">
      <c r="B11" s="190"/>
      <c r="C11" s="190"/>
      <c r="D11" s="190"/>
      <c r="E11" s="190"/>
      <c r="F11" s="190"/>
      <c r="G11" s="190"/>
      <c r="H11" s="190"/>
      <c r="I11" s="190"/>
      <c r="J11" s="190"/>
      <c r="W11" s="44"/>
      <c r="X11" s="43"/>
      <c r="Y11" s="43"/>
      <c r="Z11" s="43"/>
    </row>
    <row r="12" spans="2:26" ht="12.75">
      <c r="B12" s="190"/>
      <c r="C12" s="190"/>
      <c r="D12" s="190"/>
      <c r="E12" s="190"/>
      <c r="F12" s="190"/>
      <c r="G12" s="190"/>
      <c r="H12" s="190"/>
      <c r="I12" s="190"/>
      <c r="J12" s="190"/>
      <c r="W12" s="44"/>
      <c r="X12" s="43"/>
      <c r="Y12" s="43"/>
      <c r="Z12" s="43"/>
    </row>
    <row r="13" spans="2:26" ht="12.75">
      <c r="B13" s="190"/>
      <c r="C13" s="190"/>
      <c r="D13" s="190"/>
      <c r="E13" s="190"/>
      <c r="F13" s="190"/>
      <c r="G13" s="190"/>
      <c r="H13" s="190"/>
      <c r="I13" s="190"/>
      <c r="J13" s="190"/>
      <c r="W13" s="44"/>
      <c r="X13" s="43"/>
      <c r="Y13" s="43"/>
      <c r="Z13" s="43"/>
    </row>
    <row r="14" spans="2:26" ht="12.75">
      <c r="B14" s="190"/>
      <c r="C14" s="190"/>
      <c r="D14" s="190"/>
      <c r="E14" s="190"/>
      <c r="F14" s="190"/>
      <c r="G14" s="190"/>
      <c r="H14" s="190"/>
      <c r="I14" s="190"/>
      <c r="J14" s="190"/>
      <c r="W14" s="44"/>
      <c r="X14" s="43"/>
      <c r="Y14" s="43"/>
      <c r="Z14" s="43"/>
    </row>
    <row r="15" spans="2:26" ht="12.75">
      <c r="B15" s="190"/>
      <c r="C15" s="190"/>
      <c r="D15" s="190"/>
      <c r="E15" s="190"/>
      <c r="F15" s="190"/>
      <c r="G15" s="190"/>
      <c r="H15" s="190"/>
      <c r="I15" s="190"/>
      <c r="J15" s="190"/>
      <c r="W15" s="44"/>
      <c r="X15" s="43"/>
      <c r="Y15" s="43"/>
      <c r="Z15" s="43"/>
    </row>
    <row r="16" spans="2:26" ht="12.75">
      <c r="B16" s="190"/>
      <c r="C16" s="190"/>
      <c r="D16" s="190"/>
      <c r="E16" s="190"/>
      <c r="F16" s="190"/>
      <c r="G16" s="190"/>
      <c r="H16" s="190"/>
      <c r="I16" s="190"/>
      <c r="J16" s="190"/>
      <c r="W16" s="44"/>
      <c r="X16" s="43"/>
      <c r="Y16" s="43"/>
      <c r="Z16" s="43"/>
    </row>
    <row r="17" spans="2:26" ht="12.75">
      <c r="B17" s="190"/>
      <c r="C17" s="190"/>
      <c r="D17" s="190"/>
      <c r="E17" s="190"/>
      <c r="F17" s="190"/>
      <c r="G17" s="190"/>
      <c r="H17" s="190"/>
      <c r="I17" s="190"/>
      <c r="J17" s="190"/>
      <c r="W17" s="44"/>
      <c r="X17" s="43"/>
      <c r="Y17" s="43"/>
      <c r="Z17" s="43"/>
    </row>
    <row r="18" spans="2:26" ht="12.75">
      <c r="B18" s="190"/>
      <c r="C18" s="190"/>
      <c r="D18" s="190"/>
      <c r="E18" s="190"/>
      <c r="F18" s="190"/>
      <c r="G18" s="190"/>
      <c r="H18" s="190"/>
      <c r="I18" s="190"/>
      <c r="J18" s="190"/>
      <c r="W18" s="44"/>
      <c r="X18" s="43"/>
      <c r="Y18" s="43"/>
      <c r="Z18" s="43"/>
    </row>
    <row r="19" spans="2:26" ht="12.75">
      <c r="B19" s="190"/>
      <c r="C19" s="190"/>
      <c r="D19" s="190"/>
      <c r="E19" s="190"/>
      <c r="F19" s="190"/>
      <c r="G19" s="190"/>
      <c r="H19" s="190"/>
      <c r="I19" s="190"/>
      <c r="J19" s="190"/>
      <c r="W19" s="44"/>
      <c r="X19" s="43"/>
      <c r="Y19" s="43"/>
      <c r="Z19" s="43"/>
    </row>
    <row r="20" spans="23:26" ht="12.75">
      <c r="W20" s="44"/>
      <c r="X20" s="43"/>
      <c r="Y20" s="43"/>
      <c r="Z20" s="43"/>
    </row>
    <row r="21" spans="23:26" ht="12.75">
      <c r="W21" s="44"/>
      <c r="X21" s="43"/>
      <c r="Y21" s="43"/>
      <c r="Z21" s="43"/>
    </row>
    <row r="22" spans="2:26" ht="12.75">
      <c r="B22" s="57" t="s">
        <v>246</v>
      </c>
      <c r="C22" s="58"/>
      <c r="D22" s="58"/>
      <c r="E22" s="58"/>
      <c r="F22" s="58"/>
      <c r="G22" s="58"/>
      <c r="H22" s="23"/>
      <c r="I22" s="23"/>
      <c r="J22" s="23"/>
      <c r="K22" s="23"/>
      <c r="W22" s="44"/>
      <c r="X22" s="43"/>
      <c r="Y22" s="43"/>
      <c r="Z22" s="43"/>
    </row>
    <row r="23" spans="2:26" ht="12.75">
      <c r="B23" s="59" t="s">
        <v>247</v>
      </c>
      <c r="C23" s="60"/>
      <c r="D23" s="61"/>
      <c r="E23" s="59" t="s">
        <v>260</v>
      </c>
      <c r="F23" s="60"/>
      <c r="G23" s="61"/>
      <c r="H23" s="54"/>
      <c r="I23" s="23"/>
      <c r="J23" s="23"/>
      <c r="K23" s="23"/>
      <c r="W23" s="44"/>
      <c r="X23" s="43"/>
      <c r="Y23" s="43"/>
      <c r="Z23" s="43"/>
    </row>
    <row r="24" spans="2:26" ht="12.75">
      <c r="B24" s="62" t="s">
        <v>279</v>
      </c>
      <c r="C24" s="63">
        <v>1</v>
      </c>
      <c r="D24" s="64" t="s">
        <v>178</v>
      </c>
      <c r="E24" s="62" t="s">
        <v>277</v>
      </c>
      <c r="F24" s="63">
        <f>1450</f>
        <v>1450</v>
      </c>
      <c r="G24" s="64" t="s">
        <v>250</v>
      </c>
      <c r="H24" s="55"/>
      <c r="I24" s="23"/>
      <c r="J24" s="96" t="s">
        <v>311</v>
      </c>
      <c r="K24" s="96" t="s">
        <v>310</v>
      </c>
      <c r="L24" s="97" t="s">
        <v>309</v>
      </c>
      <c r="M24" s="97" t="s">
        <v>308</v>
      </c>
      <c r="O24" s="42"/>
      <c r="W24" s="44"/>
      <c r="X24" s="43"/>
      <c r="Y24" s="43"/>
      <c r="Z24" s="43"/>
    </row>
    <row r="25" spans="2:26" ht="12.75">
      <c r="B25" s="62" t="s">
        <v>278</v>
      </c>
      <c r="C25" s="63">
        <v>12</v>
      </c>
      <c r="D25" s="64" t="s">
        <v>178</v>
      </c>
      <c r="E25" s="62" t="s">
        <v>276</v>
      </c>
      <c r="F25" s="63">
        <v>1004.5</v>
      </c>
      <c r="G25" s="64" t="s">
        <v>303</v>
      </c>
      <c r="H25" s="55"/>
      <c r="I25" s="23"/>
      <c r="J25" s="92"/>
      <c r="K25" s="92"/>
      <c r="L25" s="93"/>
      <c r="M25" s="87"/>
      <c r="W25" s="44"/>
      <c r="X25" s="43"/>
      <c r="Y25" s="43"/>
      <c r="Z25" s="43"/>
    </row>
    <row r="26" spans="2:26" ht="12.75">
      <c r="B26" s="62" t="s">
        <v>280</v>
      </c>
      <c r="C26" s="63">
        <f>15+273.15</f>
        <v>288.15</v>
      </c>
      <c r="D26" s="64" t="s">
        <v>250</v>
      </c>
      <c r="E26" s="62" t="s">
        <v>300</v>
      </c>
      <c r="F26" s="63">
        <v>0.92</v>
      </c>
      <c r="G26" s="64" t="s">
        <v>11</v>
      </c>
      <c r="H26" s="23"/>
      <c r="I26" s="23"/>
      <c r="J26" s="94"/>
      <c r="K26" s="95"/>
      <c r="L26" s="93"/>
      <c r="M26" s="87"/>
      <c r="W26" s="44"/>
      <c r="X26" s="43"/>
      <c r="Y26" s="43"/>
      <c r="Z26" s="43"/>
    </row>
    <row r="27" spans="2:26" ht="12.75">
      <c r="B27" s="62" t="s">
        <v>281</v>
      </c>
      <c r="C27" s="63">
        <v>500</v>
      </c>
      <c r="D27" s="64" t="s">
        <v>252</v>
      </c>
      <c r="E27" s="62" t="s">
        <v>275</v>
      </c>
      <c r="F27" s="63">
        <v>1.33</v>
      </c>
      <c r="G27" s="64" t="s">
        <v>11</v>
      </c>
      <c r="H27" s="55"/>
      <c r="I27" s="56"/>
      <c r="J27" s="94"/>
      <c r="K27" s="95"/>
      <c r="L27" s="93"/>
      <c r="M27" s="87"/>
      <c r="W27" s="44"/>
      <c r="X27" s="43"/>
      <c r="Y27" s="43"/>
      <c r="Z27" s="43"/>
    </row>
    <row r="28" spans="2:26" ht="12.75">
      <c r="B28" s="62" t="s">
        <v>282</v>
      </c>
      <c r="C28" s="63">
        <v>1004.5</v>
      </c>
      <c r="D28" s="64" t="s">
        <v>303</v>
      </c>
      <c r="E28" s="65" t="s">
        <v>251</v>
      </c>
      <c r="F28" s="66">
        <v>40</v>
      </c>
      <c r="G28" s="67" t="s">
        <v>269</v>
      </c>
      <c r="H28" s="23"/>
      <c r="I28" s="23"/>
      <c r="J28" s="94"/>
      <c r="K28" s="95"/>
      <c r="L28" s="93"/>
      <c r="M28" s="87"/>
      <c r="W28" s="44"/>
      <c r="X28" s="43"/>
      <c r="Y28" s="43"/>
      <c r="Z28" s="43"/>
    </row>
    <row r="29" spans="2:26" ht="12.75">
      <c r="B29" s="62" t="s">
        <v>301</v>
      </c>
      <c r="C29" s="63">
        <v>0.82</v>
      </c>
      <c r="D29" s="64" t="s">
        <v>11</v>
      </c>
      <c r="E29" s="58"/>
      <c r="F29" s="58"/>
      <c r="G29" s="58"/>
      <c r="H29" s="23"/>
      <c r="I29" s="23"/>
      <c r="J29" s="94"/>
      <c r="K29" s="95"/>
      <c r="L29" s="93"/>
      <c r="M29" s="87"/>
      <c r="W29" s="44"/>
      <c r="X29" s="43"/>
      <c r="Y29" s="43"/>
      <c r="Z29" s="43"/>
    </row>
    <row r="30" spans="2:26" ht="12.75">
      <c r="B30" s="65" t="s">
        <v>283</v>
      </c>
      <c r="C30" s="66">
        <v>1.4</v>
      </c>
      <c r="D30" s="67" t="s">
        <v>11</v>
      </c>
      <c r="E30" s="58"/>
      <c r="F30" s="58"/>
      <c r="G30" s="58"/>
      <c r="H30" s="23"/>
      <c r="I30" s="23"/>
      <c r="J30" s="94"/>
      <c r="K30" s="95"/>
      <c r="L30" s="93"/>
      <c r="M30" s="87"/>
      <c r="W30" s="44"/>
      <c r="X30" s="43"/>
      <c r="Y30" s="43"/>
      <c r="Z30" s="43"/>
    </row>
    <row r="31" spans="2:26" ht="12.75">
      <c r="B31" s="68"/>
      <c r="C31" s="68"/>
      <c r="D31" s="68"/>
      <c r="E31" s="68"/>
      <c r="F31" s="68"/>
      <c r="G31" s="68"/>
      <c r="J31" s="94"/>
      <c r="K31" s="95"/>
      <c r="L31" s="93"/>
      <c r="M31" s="87"/>
      <c r="W31" s="44"/>
      <c r="X31" s="43"/>
      <c r="Y31" s="43"/>
      <c r="Z31" s="43"/>
    </row>
    <row r="32" spans="2:26" ht="12.75">
      <c r="B32" s="69" t="s">
        <v>249</v>
      </c>
      <c r="C32" s="70"/>
      <c r="D32" s="70"/>
      <c r="E32" s="70"/>
      <c r="F32" s="70"/>
      <c r="G32" s="70"/>
      <c r="H32" s="23"/>
      <c r="I32" s="23"/>
      <c r="J32" s="94"/>
      <c r="K32" s="95"/>
      <c r="L32" s="93"/>
      <c r="M32" s="87"/>
      <c r="N32" s="23"/>
      <c r="O32" s="23"/>
      <c r="P32" s="23"/>
      <c r="Q32" s="23"/>
      <c r="R32" s="23"/>
      <c r="S32" s="23"/>
      <c r="T32" s="23"/>
      <c r="W32" s="44"/>
      <c r="X32" s="43"/>
      <c r="Y32" s="43"/>
      <c r="Z32" s="43"/>
    </row>
    <row r="33" spans="2:26" ht="12.75">
      <c r="B33" s="71" t="s">
        <v>247</v>
      </c>
      <c r="C33" s="72"/>
      <c r="D33" s="81"/>
      <c r="E33" s="86" t="s">
        <v>248</v>
      </c>
      <c r="F33" s="72"/>
      <c r="G33" s="81"/>
      <c r="H33" s="23"/>
      <c r="I33" s="23"/>
      <c r="J33" s="94"/>
      <c r="K33" s="95"/>
      <c r="L33" s="93"/>
      <c r="M33" s="87"/>
      <c r="N33" s="23"/>
      <c r="O33" s="23"/>
      <c r="P33" s="23"/>
      <c r="Q33" s="23"/>
      <c r="R33" s="23"/>
      <c r="S33" s="23"/>
      <c r="T33" s="23"/>
      <c r="W33" s="44"/>
      <c r="X33" s="43"/>
      <c r="Y33" s="43"/>
      <c r="Z33" s="43"/>
    </row>
    <row r="34" spans="2:25" ht="12.75">
      <c r="B34" s="73" t="s">
        <v>316</v>
      </c>
      <c r="C34" s="74"/>
      <c r="D34" s="76" t="s">
        <v>250</v>
      </c>
      <c r="E34" s="75" t="s">
        <v>253</v>
      </c>
      <c r="F34" s="74"/>
      <c r="G34" s="76" t="s">
        <v>254</v>
      </c>
      <c r="H34" s="23"/>
      <c r="I34" s="23"/>
      <c r="J34" s="94"/>
      <c r="K34" s="95"/>
      <c r="L34" s="93"/>
      <c r="M34" s="87"/>
      <c r="N34" s="23"/>
      <c r="O34" s="23"/>
      <c r="P34" s="23"/>
      <c r="Q34" s="23"/>
      <c r="R34" s="23"/>
      <c r="S34" s="23"/>
      <c r="T34" s="23"/>
      <c r="W34" s="44"/>
      <c r="X34" s="43"/>
      <c r="Y34" s="43"/>
    </row>
    <row r="35" spans="2:25" ht="12.75">
      <c r="B35" s="73" t="s">
        <v>317</v>
      </c>
      <c r="C35" s="74"/>
      <c r="D35" s="76" t="s">
        <v>250</v>
      </c>
      <c r="E35" s="75" t="s">
        <v>284</v>
      </c>
      <c r="F35" s="89">
        <v>70</v>
      </c>
      <c r="G35" s="76" t="s">
        <v>252</v>
      </c>
      <c r="H35" s="23"/>
      <c r="I35" s="23"/>
      <c r="J35" s="94"/>
      <c r="K35" s="95"/>
      <c r="L35" s="93"/>
      <c r="M35" s="87"/>
      <c r="N35" s="23"/>
      <c r="O35" s="23"/>
      <c r="P35" s="23"/>
      <c r="Q35" s="23"/>
      <c r="R35" s="23"/>
      <c r="S35" s="23"/>
      <c r="T35" s="23"/>
      <c r="W35" s="44"/>
      <c r="X35" s="43"/>
      <c r="Y35" s="43"/>
    </row>
    <row r="36" spans="2:25" ht="12.75">
      <c r="B36" s="77" t="s">
        <v>255</v>
      </c>
      <c r="C36" s="78"/>
      <c r="D36" s="84" t="s">
        <v>254</v>
      </c>
      <c r="E36" s="75"/>
      <c r="F36" s="74"/>
      <c r="G36" s="76"/>
      <c r="H36" s="23"/>
      <c r="I36" s="23"/>
      <c r="J36" s="94"/>
      <c r="K36" s="95"/>
      <c r="L36" s="93"/>
      <c r="M36" s="87"/>
      <c r="N36" s="23"/>
      <c r="O36" s="23"/>
      <c r="P36" s="55"/>
      <c r="Q36" s="23"/>
      <c r="R36" s="23"/>
      <c r="S36" s="23"/>
      <c r="T36" s="23"/>
      <c r="W36" s="44"/>
      <c r="X36" s="43"/>
      <c r="Y36" s="43"/>
    </row>
    <row r="37" spans="2:25" ht="12.75">
      <c r="B37" s="71" t="s">
        <v>260</v>
      </c>
      <c r="C37" s="72"/>
      <c r="D37" s="81"/>
      <c r="E37" s="75" t="s">
        <v>314</v>
      </c>
      <c r="F37" s="91"/>
      <c r="G37" s="76" t="s">
        <v>178</v>
      </c>
      <c r="H37" s="23"/>
      <c r="I37" s="23"/>
      <c r="J37" s="94"/>
      <c r="K37" s="95"/>
      <c r="L37" s="93"/>
      <c r="M37" s="87"/>
      <c r="N37" s="23"/>
      <c r="O37" s="23"/>
      <c r="P37" s="23"/>
      <c r="Q37" s="23"/>
      <c r="R37" s="23"/>
      <c r="S37" s="23"/>
      <c r="T37" s="23"/>
      <c r="W37" s="44"/>
      <c r="X37" s="43"/>
      <c r="Y37" s="43"/>
    </row>
    <row r="38" spans="2:25" ht="12.75">
      <c r="B38" s="73" t="s">
        <v>319</v>
      </c>
      <c r="C38" s="74"/>
      <c r="D38" s="76" t="s">
        <v>250</v>
      </c>
      <c r="E38" s="86" t="s">
        <v>287</v>
      </c>
      <c r="F38" s="72"/>
      <c r="G38" s="81"/>
      <c r="H38" s="23"/>
      <c r="I38" s="23"/>
      <c r="J38" s="94"/>
      <c r="K38" s="95"/>
      <c r="L38" s="93"/>
      <c r="M38" s="87"/>
      <c r="N38" s="23"/>
      <c r="O38" s="23"/>
      <c r="P38" s="23"/>
      <c r="Q38" s="23"/>
      <c r="R38" s="23"/>
      <c r="S38" s="23"/>
      <c r="T38" s="23"/>
      <c r="W38" s="44"/>
      <c r="X38" s="43"/>
      <c r="Y38" s="43"/>
    </row>
    <row r="39" spans="2:25" ht="12.75">
      <c r="B39" s="73" t="s">
        <v>318</v>
      </c>
      <c r="C39" s="74"/>
      <c r="D39" s="76" t="s">
        <v>250</v>
      </c>
      <c r="E39" s="75" t="s">
        <v>292</v>
      </c>
      <c r="F39" s="74"/>
      <c r="G39" s="76" t="s">
        <v>254</v>
      </c>
      <c r="H39" s="23"/>
      <c r="I39" s="23"/>
      <c r="J39" s="94"/>
      <c r="K39" s="95"/>
      <c r="L39" s="93"/>
      <c r="M39" s="87"/>
      <c r="N39" s="23"/>
      <c r="O39" s="23"/>
      <c r="P39" s="23"/>
      <c r="Q39" s="23"/>
      <c r="R39" s="23"/>
      <c r="S39" s="23"/>
      <c r="T39" s="23"/>
      <c r="W39" s="44"/>
      <c r="X39" s="43"/>
      <c r="Y39" s="43"/>
    </row>
    <row r="40" spans="2:25" ht="12.75">
      <c r="B40" s="73" t="s">
        <v>286</v>
      </c>
      <c r="C40" s="74"/>
      <c r="D40" s="76" t="s">
        <v>252</v>
      </c>
      <c r="E40" s="75" t="s">
        <v>291</v>
      </c>
      <c r="F40" s="74"/>
      <c r="G40" s="76" t="s">
        <v>254</v>
      </c>
      <c r="H40" s="23"/>
      <c r="I40" s="23"/>
      <c r="J40" s="94"/>
      <c r="K40" s="95"/>
      <c r="L40" s="93"/>
      <c r="M40" s="87"/>
      <c r="N40" s="23"/>
      <c r="O40" s="23"/>
      <c r="P40" s="23"/>
      <c r="Q40" s="23"/>
      <c r="R40" s="23"/>
      <c r="S40" s="23"/>
      <c r="T40" s="23"/>
      <c r="W40" s="44"/>
      <c r="X40" s="43"/>
      <c r="Y40" s="43"/>
    </row>
    <row r="41" spans="2:25" ht="12.75">
      <c r="B41" s="73" t="s">
        <v>285</v>
      </c>
      <c r="C41" s="74"/>
      <c r="D41" s="76" t="s">
        <v>252</v>
      </c>
      <c r="E41" s="75" t="s">
        <v>293</v>
      </c>
      <c r="F41" s="74"/>
      <c r="G41" s="76" t="s">
        <v>250</v>
      </c>
      <c r="H41" s="23"/>
      <c r="I41" s="23"/>
      <c r="J41" s="94"/>
      <c r="K41" s="95"/>
      <c r="L41" s="93"/>
      <c r="M41" s="87"/>
      <c r="N41" s="23"/>
      <c r="O41" s="23"/>
      <c r="P41" s="23"/>
      <c r="Q41" s="23"/>
      <c r="R41" s="23"/>
      <c r="S41" s="23"/>
      <c r="T41" s="23"/>
      <c r="W41" s="44"/>
      <c r="X41" s="43"/>
      <c r="Y41" s="43"/>
    </row>
    <row r="42" spans="2:25" ht="12.75">
      <c r="B42" s="73" t="s">
        <v>268</v>
      </c>
      <c r="C42" s="74"/>
      <c r="D42" s="76" t="s">
        <v>254</v>
      </c>
      <c r="E42" s="79" t="s">
        <v>294</v>
      </c>
      <c r="F42" s="88">
        <f>125+273.15</f>
        <v>398.15</v>
      </c>
      <c r="G42" s="84" t="s">
        <v>250</v>
      </c>
      <c r="H42" s="55"/>
      <c r="I42" s="23"/>
      <c r="J42" s="94"/>
      <c r="K42" s="95"/>
      <c r="L42" s="93"/>
      <c r="M42" s="87"/>
      <c r="N42" s="23"/>
      <c r="O42" s="23"/>
      <c r="P42" s="23"/>
      <c r="Q42" s="23"/>
      <c r="R42" s="23"/>
      <c r="S42" s="23"/>
      <c r="T42" s="23"/>
      <c r="W42" s="44"/>
      <c r="X42" s="43"/>
      <c r="Y42" s="43"/>
    </row>
    <row r="43" spans="2:25" ht="12.75">
      <c r="B43" s="73" t="s">
        <v>256</v>
      </c>
      <c r="C43" s="74"/>
      <c r="D43" s="76" t="s">
        <v>254</v>
      </c>
      <c r="E43" s="86" t="s">
        <v>288</v>
      </c>
      <c r="F43" s="72"/>
      <c r="G43" s="81"/>
      <c r="H43" s="55"/>
      <c r="I43" s="23"/>
      <c r="J43" s="94"/>
      <c r="K43" s="95"/>
      <c r="L43" s="93"/>
      <c r="M43" s="87"/>
      <c r="N43" s="23"/>
      <c r="O43" s="23"/>
      <c r="P43" s="23"/>
      <c r="Q43" s="23"/>
      <c r="R43" s="23"/>
      <c r="S43" s="23"/>
      <c r="T43" s="23"/>
      <c r="W43" s="44"/>
      <c r="X43" s="43"/>
      <c r="Y43" s="43"/>
    </row>
    <row r="44" spans="2:25" ht="12.75">
      <c r="B44" s="77" t="s">
        <v>300</v>
      </c>
      <c r="C44" s="80"/>
      <c r="D44" s="84" t="s">
        <v>11</v>
      </c>
      <c r="E44" s="75" t="s">
        <v>305</v>
      </c>
      <c r="F44" s="74"/>
      <c r="G44" s="76" t="s">
        <v>254</v>
      </c>
      <c r="H44" s="42"/>
      <c r="J44" s="94"/>
      <c r="K44" s="95"/>
      <c r="L44" s="93"/>
      <c r="M44" s="87"/>
      <c r="N44" s="42"/>
      <c r="W44" s="44"/>
      <c r="X44" s="43"/>
      <c r="Y44" s="43"/>
    </row>
    <row r="45" spans="2:25" ht="12.75">
      <c r="B45" s="71" t="s">
        <v>259</v>
      </c>
      <c r="C45" s="72"/>
      <c r="D45" s="81"/>
      <c r="E45" s="75" t="s">
        <v>290</v>
      </c>
      <c r="F45" s="74"/>
      <c r="G45" s="76" t="s">
        <v>250</v>
      </c>
      <c r="J45" s="94"/>
      <c r="K45" s="95"/>
      <c r="L45" s="93"/>
      <c r="M45" s="87"/>
      <c r="W45" s="44"/>
      <c r="X45" s="43"/>
      <c r="Y45" s="43"/>
    </row>
    <row r="46" spans="2:25" ht="15">
      <c r="B46" s="73" t="s">
        <v>302</v>
      </c>
      <c r="C46" s="89">
        <v>0.8</v>
      </c>
      <c r="D46" s="83" t="s">
        <v>11</v>
      </c>
      <c r="E46" s="75" t="s">
        <v>313</v>
      </c>
      <c r="F46" s="90"/>
      <c r="G46" s="76" t="s">
        <v>250</v>
      </c>
      <c r="J46" s="94"/>
      <c r="K46" s="95"/>
      <c r="L46" s="93"/>
      <c r="M46" s="87"/>
      <c r="W46" s="44"/>
      <c r="X46" s="43"/>
      <c r="Y46" s="43"/>
    </row>
    <row r="47" spans="2:25" ht="12.75">
      <c r="B47" s="73" t="s">
        <v>263</v>
      </c>
      <c r="C47" s="74"/>
      <c r="D47" s="76" t="s">
        <v>171</v>
      </c>
      <c r="E47" s="75" t="s">
        <v>257</v>
      </c>
      <c r="F47" s="74"/>
      <c r="G47" s="76" t="s">
        <v>171</v>
      </c>
      <c r="J47" s="94"/>
      <c r="K47" s="95"/>
      <c r="L47" s="93"/>
      <c r="M47" s="87"/>
      <c r="W47" s="44"/>
      <c r="X47" s="43"/>
      <c r="Y47" s="43"/>
    </row>
    <row r="48" spans="2:25" ht="12.75">
      <c r="B48" s="73" t="s">
        <v>274</v>
      </c>
      <c r="C48" s="74"/>
      <c r="D48" s="76" t="s">
        <v>171</v>
      </c>
      <c r="E48" s="75" t="s">
        <v>258</v>
      </c>
      <c r="F48" s="74"/>
      <c r="G48" s="76" t="s">
        <v>171</v>
      </c>
      <c r="J48" s="94"/>
      <c r="K48" s="95"/>
      <c r="L48" s="93"/>
      <c r="M48" s="87"/>
      <c r="W48" s="44"/>
      <c r="X48" s="43"/>
      <c r="Y48" s="43"/>
    </row>
    <row r="49" spans="2:25" ht="12.75">
      <c r="B49" s="73" t="s">
        <v>306</v>
      </c>
      <c r="C49" s="89">
        <v>0.05</v>
      </c>
      <c r="D49" s="76" t="s">
        <v>178</v>
      </c>
      <c r="E49" s="75" t="s">
        <v>293</v>
      </c>
      <c r="F49" s="74"/>
      <c r="G49" s="76" t="s">
        <v>250</v>
      </c>
      <c r="J49" s="94"/>
      <c r="K49" s="95"/>
      <c r="L49" s="93"/>
      <c r="M49" s="87"/>
      <c r="W49" s="44"/>
      <c r="X49" s="43"/>
      <c r="Y49" s="43"/>
    </row>
    <row r="50" spans="2:25" ht="12.75">
      <c r="B50" s="77" t="s">
        <v>264</v>
      </c>
      <c r="C50" s="78"/>
      <c r="D50" s="84" t="s">
        <v>254</v>
      </c>
      <c r="E50" s="79" t="s">
        <v>294</v>
      </c>
      <c r="F50" s="78"/>
      <c r="G50" s="84" t="s">
        <v>250</v>
      </c>
      <c r="J50" s="94"/>
      <c r="K50" s="95"/>
      <c r="L50" s="93"/>
      <c r="M50" s="87"/>
      <c r="W50" s="44"/>
      <c r="X50" s="43"/>
      <c r="Y50" s="43"/>
    </row>
    <row r="51" spans="2:25" ht="12.75">
      <c r="B51" s="85" t="s">
        <v>299</v>
      </c>
      <c r="C51" s="82"/>
      <c r="D51" s="76"/>
      <c r="E51" s="86" t="s">
        <v>289</v>
      </c>
      <c r="F51" s="72"/>
      <c r="G51" s="81"/>
      <c r="J51" s="94"/>
      <c r="K51" s="95"/>
      <c r="L51" s="93"/>
      <c r="M51" s="87"/>
      <c r="W51" s="44"/>
      <c r="X51" s="43"/>
      <c r="Y51" s="43"/>
    </row>
    <row r="52" spans="2:25" ht="12.75">
      <c r="B52" s="73" t="s">
        <v>297</v>
      </c>
      <c r="C52" s="82"/>
      <c r="D52" s="76" t="s">
        <v>298</v>
      </c>
      <c r="E52" s="75" t="s">
        <v>304</v>
      </c>
      <c r="F52" s="74"/>
      <c r="G52" s="76" t="s">
        <v>254</v>
      </c>
      <c r="J52" s="94"/>
      <c r="K52" s="95"/>
      <c r="L52" s="93"/>
      <c r="M52" s="87"/>
      <c r="W52" s="44"/>
      <c r="X52" s="43"/>
      <c r="Y52" s="43"/>
    </row>
    <row r="53" spans="2:25" ht="12.75">
      <c r="B53" s="73" t="s">
        <v>296</v>
      </c>
      <c r="C53" s="74"/>
      <c r="D53" s="76" t="s">
        <v>171</v>
      </c>
      <c r="E53" s="75" t="s">
        <v>293</v>
      </c>
      <c r="F53" s="74"/>
      <c r="G53" s="76" t="s">
        <v>250</v>
      </c>
      <c r="J53" s="94"/>
      <c r="K53" s="95"/>
      <c r="L53" s="93"/>
      <c r="M53" s="87"/>
      <c r="W53" s="44"/>
      <c r="X53" s="43"/>
      <c r="Y53" s="43"/>
    </row>
    <row r="54" spans="2:25" ht="12.75">
      <c r="B54" s="73" t="s">
        <v>273</v>
      </c>
      <c r="C54" s="74"/>
      <c r="D54" s="76" t="s">
        <v>171</v>
      </c>
      <c r="E54" s="75" t="s">
        <v>294</v>
      </c>
      <c r="F54" s="74"/>
      <c r="G54" s="76" t="s">
        <v>250</v>
      </c>
      <c r="J54" s="94"/>
      <c r="K54" s="95"/>
      <c r="L54" s="93"/>
      <c r="M54" s="87"/>
      <c r="W54" s="44"/>
      <c r="X54" s="43"/>
      <c r="Y54" s="43"/>
    </row>
    <row r="55" spans="2:25" ht="12.75">
      <c r="B55" s="73" t="s">
        <v>270</v>
      </c>
      <c r="C55" s="74"/>
      <c r="D55" s="76" t="s">
        <v>179</v>
      </c>
      <c r="E55" s="75" t="s">
        <v>271</v>
      </c>
      <c r="F55" s="74"/>
      <c r="G55" s="76" t="s">
        <v>250</v>
      </c>
      <c r="J55" s="94"/>
      <c r="K55" s="95"/>
      <c r="L55" s="93"/>
      <c r="M55" s="87"/>
      <c r="W55" s="44"/>
      <c r="X55" s="43"/>
      <c r="Y55" s="43"/>
    </row>
    <row r="56" spans="2:25" ht="12.75">
      <c r="B56" s="77" t="s">
        <v>295</v>
      </c>
      <c r="C56" s="78"/>
      <c r="D56" s="84" t="s">
        <v>307</v>
      </c>
      <c r="E56" s="75" t="s">
        <v>272</v>
      </c>
      <c r="F56" s="74"/>
      <c r="G56" s="76" t="s">
        <v>171</v>
      </c>
      <c r="J56" s="94"/>
      <c r="K56" s="95"/>
      <c r="L56" s="93"/>
      <c r="M56" s="87"/>
      <c r="W56" s="44"/>
      <c r="X56" s="43"/>
      <c r="Y56" s="43"/>
    </row>
    <row r="57" spans="2:25" ht="12.75">
      <c r="B57" s="45" t="s">
        <v>265</v>
      </c>
      <c r="C57" s="46"/>
      <c r="D57" s="47"/>
      <c r="E57" s="79" t="s">
        <v>262</v>
      </c>
      <c r="F57" s="78"/>
      <c r="G57" s="84" t="s">
        <v>298</v>
      </c>
      <c r="J57" s="94"/>
      <c r="K57" s="95"/>
      <c r="L57" s="93"/>
      <c r="M57" s="87"/>
      <c r="W57" s="44"/>
      <c r="X57" s="43"/>
      <c r="Y57" s="43"/>
    </row>
    <row r="58" spans="2:25" ht="12.75">
      <c r="B58" s="48" t="s">
        <v>266</v>
      </c>
      <c r="C58" s="49"/>
      <c r="D58" s="50" t="s">
        <v>254</v>
      </c>
      <c r="E58" s="42"/>
      <c r="G58" s="42"/>
      <c r="J58" s="94"/>
      <c r="K58" s="95"/>
      <c r="L58" s="93"/>
      <c r="M58" s="87"/>
      <c r="W58" s="44"/>
      <c r="X58" s="43"/>
      <c r="Y58" s="43"/>
    </row>
    <row r="59" spans="2:25" ht="12.75">
      <c r="B59" s="51" t="s">
        <v>267</v>
      </c>
      <c r="C59" s="52"/>
      <c r="D59" s="53" t="s">
        <v>11</v>
      </c>
      <c r="J59" s="94"/>
      <c r="K59" s="95"/>
      <c r="L59" s="93"/>
      <c r="M59" s="87"/>
      <c r="W59" s="44"/>
      <c r="X59" s="43"/>
      <c r="Y59" s="43"/>
    </row>
    <row r="60" spans="10:25" ht="12.75">
      <c r="J60" s="94"/>
      <c r="K60" s="95"/>
      <c r="L60" s="93"/>
      <c r="M60" s="87"/>
      <c r="W60" s="44"/>
      <c r="X60" s="43"/>
      <c r="Y60" s="43"/>
    </row>
    <row r="61" spans="10:25" ht="12.75">
      <c r="J61" s="94"/>
      <c r="K61" s="95"/>
      <c r="L61" s="93"/>
      <c r="M61" s="87"/>
      <c r="W61" s="44"/>
      <c r="X61" s="43"/>
      <c r="Y61" s="43"/>
    </row>
    <row r="62" spans="10:25" ht="12.75">
      <c r="J62" s="94"/>
      <c r="K62" s="95"/>
      <c r="L62" s="93"/>
      <c r="M62" s="87"/>
      <c r="W62" s="44"/>
      <c r="X62" s="43"/>
      <c r="Y62" s="43"/>
    </row>
    <row r="63" spans="10:25" ht="12.75">
      <c r="J63" s="94"/>
      <c r="K63" s="95"/>
      <c r="L63" s="93"/>
      <c r="M63" s="87"/>
      <c r="W63" s="44"/>
      <c r="X63" s="43"/>
      <c r="Y63" s="43"/>
    </row>
    <row r="64" spans="10:25" ht="12.75">
      <c r="J64" s="94"/>
      <c r="K64" s="95"/>
      <c r="L64" s="93"/>
      <c r="M64" s="87"/>
      <c r="W64" s="44"/>
      <c r="X64" s="43"/>
      <c r="Y64" s="43"/>
    </row>
    <row r="65" spans="10:26" ht="12.75">
      <c r="J65" s="94"/>
      <c r="K65" s="95"/>
      <c r="L65" s="93"/>
      <c r="M65" s="87"/>
      <c r="W65" s="44"/>
      <c r="X65" s="43"/>
      <c r="Y65" s="43"/>
      <c r="Z65" s="43"/>
    </row>
    <row r="66" spans="10:26" ht="12.75">
      <c r="J66" s="94"/>
      <c r="K66" s="95"/>
      <c r="L66" s="93"/>
      <c r="M66" s="87"/>
      <c r="W66" s="44"/>
      <c r="X66" s="43"/>
      <c r="Y66" s="43"/>
      <c r="Z66" s="43"/>
    </row>
    <row r="67" spans="10:26" ht="12.75">
      <c r="J67" s="94"/>
      <c r="K67" s="95"/>
      <c r="L67" s="93"/>
      <c r="M67" s="87"/>
      <c r="W67" s="44"/>
      <c r="X67" s="43"/>
      <c r="Y67" s="43"/>
      <c r="Z67" s="43"/>
    </row>
    <row r="68" spans="10:26" ht="12.75">
      <c r="J68" s="94"/>
      <c r="K68" s="95"/>
      <c r="L68" s="93"/>
      <c r="M68" s="87"/>
      <c r="W68" s="44"/>
      <c r="X68" s="43"/>
      <c r="Y68" s="43"/>
      <c r="Z68" s="43"/>
    </row>
    <row r="69" spans="10:26" ht="12.75">
      <c r="J69" s="94"/>
      <c r="K69" s="95"/>
      <c r="L69" s="93"/>
      <c r="M69" s="87"/>
      <c r="W69" s="44"/>
      <c r="X69" s="43"/>
      <c r="Y69" s="43"/>
      <c r="Z69" s="43"/>
    </row>
    <row r="70" spans="10:26" ht="12.75">
      <c r="J70" s="94"/>
      <c r="K70" s="95"/>
      <c r="L70" s="93"/>
      <c r="M70" s="87"/>
      <c r="W70" s="44"/>
      <c r="X70" s="43"/>
      <c r="Y70" s="43"/>
      <c r="Z70" s="43"/>
    </row>
    <row r="71" spans="10:26" ht="12.75">
      <c r="J71" s="94"/>
      <c r="K71" s="95"/>
      <c r="L71" s="93"/>
      <c r="M71" s="87"/>
      <c r="W71" s="44"/>
      <c r="X71" s="43"/>
      <c r="Y71" s="43"/>
      <c r="Z71" s="43"/>
    </row>
    <row r="72" spans="10:26" ht="12.75">
      <c r="J72" s="94"/>
      <c r="K72" s="95"/>
      <c r="L72" s="93"/>
      <c r="M72" s="87"/>
      <c r="W72" s="44"/>
      <c r="X72" s="43"/>
      <c r="Y72" s="43"/>
      <c r="Z72" s="43"/>
    </row>
    <row r="73" spans="10:26" ht="12.75">
      <c r="J73" s="94"/>
      <c r="K73" s="95"/>
      <c r="L73" s="93"/>
      <c r="M73" s="87"/>
      <c r="W73" s="44"/>
      <c r="X73" s="43"/>
      <c r="Y73" s="43"/>
      <c r="Z73" s="43"/>
    </row>
    <row r="74" spans="10:26" ht="12.75">
      <c r="J74" s="94"/>
      <c r="K74" s="95"/>
      <c r="L74" s="93"/>
      <c r="M74" s="87"/>
      <c r="W74" s="44"/>
      <c r="X74" s="43"/>
      <c r="Y74" s="43"/>
      <c r="Z74" s="43"/>
    </row>
    <row r="75" spans="10:26" ht="12.75">
      <c r="J75" s="94"/>
      <c r="K75" s="95"/>
      <c r="L75" s="93"/>
      <c r="M75" s="87"/>
      <c r="W75" s="44"/>
      <c r="X75" s="43"/>
      <c r="Y75" s="43"/>
      <c r="Z75" s="43"/>
    </row>
    <row r="76" spans="10:26" ht="12.75">
      <c r="J76" s="94"/>
      <c r="K76" s="95"/>
      <c r="L76" s="93"/>
      <c r="M76" s="87"/>
      <c r="W76" s="44"/>
      <c r="X76" s="43"/>
      <c r="Y76" s="43"/>
      <c r="Z76" s="43"/>
    </row>
    <row r="77" spans="10:26" ht="12.75">
      <c r="J77" s="94"/>
      <c r="K77" s="95"/>
      <c r="L77" s="93"/>
      <c r="M77" s="87"/>
      <c r="W77" s="44"/>
      <c r="X77" s="43"/>
      <c r="Y77" s="43"/>
      <c r="Z77" s="43"/>
    </row>
    <row r="78" spans="10:26" ht="12.75">
      <c r="J78" s="94"/>
      <c r="K78" s="95"/>
      <c r="L78" s="93"/>
      <c r="M78" s="87"/>
      <c r="W78" s="44"/>
      <c r="X78" s="43"/>
      <c r="Y78" s="43"/>
      <c r="Z78" s="43"/>
    </row>
    <row r="79" spans="10:26" ht="12.75">
      <c r="J79" s="94"/>
      <c r="K79" s="95"/>
      <c r="L79" s="93"/>
      <c r="M79" s="87"/>
      <c r="W79" s="44"/>
      <c r="X79" s="43"/>
      <c r="Y79" s="43"/>
      <c r="Z79" s="43"/>
    </row>
    <row r="80" spans="10:26" ht="12.75">
      <c r="J80" s="94"/>
      <c r="K80" s="95"/>
      <c r="L80" s="93"/>
      <c r="M80" s="87"/>
      <c r="W80" s="44"/>
      <c r="X80" s="43"/>
      <c r="Y80" s="43"/>
      <c r="Z80" s="43"/>
    </row>
    <row r="81" spans="10:26" ht="12.75">
      <c r="J81" s="94"/>
      <c r="K81" s="95"/>
      <c r="L81" s="93"/>
      <c r="M81" s="87"/>
      <c r="W81" s="44"/>
      <c r="X81" s="43"/>
      <c r="Y81" s="43"/>
      <c r="Z81" s="43"/>
    </row>
    <row r="82" spans="10:26" ht="12.75">
      <c r="J82" s="94"/>
      <c r="K82" s="95"/>
      <c r="L82" s="93"/>
      <c r="M82" s="87"/>
      <c r="W82" s="44"/>
      <c r="X82" s="43"/>
      <c r="Y82" s="43"/>
      <c r="Z82" s="43"/>
    </row>
    <row r="83" spans="10:26" ht="12.75">
      <c r="J83" s="94"/>
      <c r="K83" s="95"/>
      <c r="L83" s="93"/>
      <c r="M83" s="87"/>
      <c r="W83" s="44"/>
      <c r="X83" s="43"/>
      <c r="Y83" s="43"/>
      <c r="Z83" s="43"/>
    </row>
    <row r="84" spans="10:26" ht="12.75">
      <c r="J84" s="94"/>
      <c r="K84" s="95"/>
      <c r="L84" s="93"/>
      <c r="M84" s="87"/>
      <c r="W84" s="44"/>
      <c r="X84" s="43"/>
      <c r="Y84" s="43"/>
      <c r="Z84" s="43"/>
    </row>
    <row r="85" spans="10:26" ht="12.75">
      <c r="J85" s="94"/>
      <c r="K85" s="95"/>
      <c r="L85" s="93"/>
      <c r="M85" s="87"/>
      <c r="W85" s="44"/>
      <c r="X85" s="43"/>
      <c r="Y85" s="43"/>
      <c r="Z85" s="43"/>
    </row>
    <row r="86" spans="10:26" ht="12.75">
      <c r="J86" s="94"/>
      <c r="K86" s="95"/>
      <c r="L86" s="93"/>
      <c r="M86" s="87"/>
      <c r="W86" s="44"/>
      <c r="X86" s="43"/>
      <c r="Y86" s="43"/>
      <c r="Z86" s="43"/>
    </row>
    <row r="87" spans="10:26" ht="12.75">
      <c r="J87" s="94"/>
      <c r="K87" s="95"/>
      <c r="L87" s="93"/>
      <c r="M87" s="87"/>
      <c r="W87" s="44"/>
      <c r="X87" s="43"/>
      <c r="Y87" s="43"/>
      <c r="Z87" s="43"/>
    </row>
    <row r="88" spans="10:26" ht="12.75">
      <c r="J88" s="94"/>
      <c r="K88" s="95"/>
      <c r="L88" s="93"/>
      <c r="M88" s="87"/>
      <c r="W88" s="44"/>
      <c r="X88" s="43"/>
      <c r="Y88" s="43"/>
      <c r="Z88" s="43"/>
    </row>
    <row r="89" spans="10:26" ht="12.75">
      <c r="J89" s="94"/>
      <c r="K89" s="95"/>
      <c r="L89" s="93"/>
      <c r="M89" s="87"/>
      <c r="W89" s="44"/>
      <c r="X89" s="43"/>
      <c r="Y89" s="43"/>
      <c r="Z89" s="43"/>
    </row>
    <row r="90" spans="10:26" ht="12.75">
      <c r="J90" s="94"/>
      <c r="K90" s="95"/>
      <c r="L90" s="93"/>
      <c r="M90" s="87"/>
      <c r="W90" s="44"/>
      <c r="X90" s="43"/>
      <c r="Y90" s="43"/>
      <c r="Z90" s="43"/>
    </row>
    <row r="91" spans="10:26" ht="12.75">
      <c r="J91" s="94"/>
      <c r="K91" s="95"/>
      <c r="L91" s="93"/>
      <c r="M91" s="87"/>
      <c r="W91" s="44"/>
      <c r="X91" s="43"/>
      <c r="Y91" s="43"/>
      <c r="Z91" s="43"/>
    </row>
    <row r="92" spans="10:26" ht="12.75">
      <c r="J92" s="94"/>
      <c r="K92" s="95"/>
      <c r="L92" s="93"/>
      <c r="M92" s="87"/>
      <c r="W92" s="44"/>
      <c r="X92" s="43"/>
      <c r="Y92" s="43"/>
      <c r="Z92" s="43"/>
    </row>
    <row r="93" spans="10:26" ht="12.75">
      <c r="J93" s="94"/>
      <c r="K93" s="95"/>
      <c r="L93" s="93"/>
      <c r="M93" s="87"/>
      <c r="W93" s="44"/>
      <c r="X93" s="43"/>
      <c r="Y93" s="43"/>
      <c r="Z93" s="43"/>
    </row>
    <row r="94" spans="10:26" ht="12.75">
      <c r="J94" s="94"/>
      <c r="K94" s="95"/>
      <c r="L94" s="93"/>
      <c r="M94" s="87"/>
      <c r="W94" s="44"/>
      <c r="X94" s="43"/>
      <c r="Y94" s="43"/>
      <c r="Z94" s="43"/>
    </row>
    <row r="95" spans="10:26" ht="12.75">
      <c r="J95" s="94"/>
      <c r="K95" s="95"/>
      <c r="L95" s="93"/>
      <c r="M95" s="87"/>
      <c r="W95" s="44"/>
      <c r="X95" s="43"/>
      <c r="Y95" s="43"/>
      <c r="Z95" s="43"/>
    </row>
    <row r="96" spans="10:26" ht="12.75">
      <c r="J96" s="94"/>
      <c r="K96" s="95"/>
      <c r="L96" s="93"/>
      <c r="M96" s="87"/>
      <c r="W96" s="44"/>
      <c r="X96" s="43"/>
      <c r="Y96" s="43"/>
      <c r="Z96" s="43"/>
    </row>
    <row r="97" spans="10:26" ht="12.75">
      <c r="J97" s="94"/>
      <c r="K97" s="95"/>
      <c r="L97" s="93"/>
      <c r="M97" s="87"/>
      <c r="W97" s="44"/>
      <c r="X97" s="43"/>
      <c r="Y97" s="43"/>
      <c r="Z97" s="43"/>
    </row>
    <row r="98" spans="10:26" ht="12.75">
      <c r="J98" s="94"/>
      <c r="K98" s="95"/>
      <c r="L98" s="93"/>
      <c r="M98" s="87"/>
      <c r="W98" s="44"/>
      <c r="X98" s="43"/>
      <c r="Y98" s="43"/>
      <c r="Z98" s="43"/>
    </row>
    <row r="99" spans="10:26" ht="12.75">
      <c r="J99" s="94"/>
      <c r="K99" s="95"/>
      <c r="L99" s="93"/>
      <c r="M99" s="87"/>
      <c r="W99" s="44"/>
      <c r="X99" s="43"/>
      <c r="Y99" s="43"/>
      <c r="Z99" s="43"/>
    </row>
    <row r="100" spans="10:26" ht="12.75">
      <c r="J100" s="94"/>
      <c r="K100" s="95"/>
      <c r="L100" s="93"/>
      <c r="M100" s="87"/>
      <c r="W100" s="44"/>
      <c r="X100" s="43"/>
      <c r="Y100" s="43"/>
      <c r="Z100" s="43"/>
    </row>
    <row r="101" spans="10:26" ht="12.75">
      <c r="J101" s="94"/>
      <c r="K101" s="95"/>
      <c r="L101" s="93"/>
      <c r="M101" s="87"/>
      <c r="W101" s="44"/>
      <c r="X101" s="43"/>
      <c r="Y101" s="43"/>
      <c r="Z101" s="43"/>
    </row>
    <row r="102" spans="10:26" ht="12.75">
      <c r="J102" s="94"/>
      <c r="K102" s="95"/>
      <c r="L102" s="93"/>
      <c r="M102" s="87"/>
      <c r="W102" s="44"/>
      <c r="X102" s="43"/>
      <c r="Y102" s="43"/>
      <c r="Z102" s="43"/>
    </row>
    <row r="103" spans="10:26" ht="12.75">
      <c r="J103" s="94"/>
      <c r="K103" s="95"/>
      <c r="L103" s="93"/>
      <c r="M103" s="87"/>
      <c r="W103" s="44"/>
      <c r="X103" s="43"/>
      <c r="Y103" s="43"/>
      <c r="Z103" s="43"/>
    </row>
    <row r="104" spans="10:26" ht="12.75">
      <c r="J104" s="94"/>
      <c r="K104" s="95"/>
      <c r="L104" s="93"/>
      <c r="M104" s="87"/>
      <c r="W104" s="44"/>
      <c r="X104" s="43"/>
      <c r="Y104" s="43"/>
      <c r="Z104" s="43"/>
    </row>
    <row r="105" spans="10:26" ht="12.75">
      <c r="J105" s="94"/>
      <c r="K105" s="95"/>
      <c r="L105" s="93"/>
      <c r="M105" s="87"/>
      <c r="W105" s="44"/>
      <c r="X105" s="43"/>
      <c r="Y105" s="43"/>
      <c r="Z105" s="43"/>
    </row>
    <row r="106" spans="10:26" ht="12.75">
      <c r="J106" s="94"/>
      <c r="K106" s="95"/>
      <c r="L106" s="93"/>
      <c r="M106" s="87"/>
      <c r="W106" s="44"/>
      <c r="X106" s="43"/>
      <c r="Y106" s="43"/>
      <c r="Z106" s="43"/>
    </row>
    <row r="107" spans="10:26" ht="12.75">
      <c r="J107" s="94"/>
      <c r="K107" s="95"/>
      <c r="L107" s="93"/>
      <c r="M107" s="87"/>
      <c r="W107" s="44"/>
      <c r="X107" s="43"/>
      <c r="Y107" s="43"/>
      <c r="Z107" s="43"/>
    </row>
    <row r="108" spans="10:26" ht="12.75">
      <c r="J108" s="94"/>
      <c r="K108" s="95"/>
      <c r="L108" s="93"/>
      <c r="M108" s="87"/>
      <c r="W108" s="44"/>
      <c r="X108" s="43"/>
      <c r="Y108" s="43"/>
      <c r="Z108" s="43"/>
    </row>
    <row r="109" spans="10:26" ht="12.75">
      <c r="J109" s="94"/>
      <c r="K109" s="95"/>
      <c r="L109" s="93"/>
      <c r="M109" s="87"/>
      <c r="W109" s="44"/>
      <c r="X109" s="43"/>
      <c r="Y109" s="43"/>
      <c r="Z109" s="43"/>
    </row>
    <row r="110" spans="10:26" ht="12.75">
      <c r="J110" s="94"/>
      <c r="K110" s="95"/>
      <c r="L110" s="93"/>
      <c r="M110" s="87"/>
      <c r="W110" s="44"/>
      <c r="X110" s="43"/>
      <c r="Y110" s="43"/>
      <c r="Z110" s="43"/>
    </row>
    <row r="111" spans="10:26" ht="12.75">
      <c r="J111" s="94"/>
      <c r="K111" s="95"/>
      <c r="L111" s="93"/>
      <c r="M111" s="87"/>
      <c r="W111" s="44"/>
      <c r="X111" s="43"/>
      <c r="Y111" s="43"/>
      <c r="Z111" s="43"/>
    </row>
    <row r="112" spans="10:26" ht="12.75">
      <c r="J112" s="94"/>
      <c r="K112" s="95"/>
      <c r="L112" s="93"/>
      <c r="M112" s="87"/>
      <c r="W112" s="44"/>
      <c r="X112" s="43"/>
      <c r="Y112" s="43"/>
      <c r="Z112" s="43"/>
    </row>
    <row r="113" spans="10:26" ht="12.75">
      <c r="J113" s="94"/>
      <c r="K113" s="95"/>
      <c r="L113" s="93"/>
      <c r="M113" s="87"/>
      <c r="W113" s="44"/>
      <c r="X113" s="43"/>
      <c r="Y113" s="43"/>
      <c r="Z113" s="43"/>
    </row>
    <row r="114" spans="10:26" ht="12.75">
      <c r="J114" s="94"/>
      <c r="K114" s="95"/>
      <c r="L114" s="93"/>
      <c r="M114" s="87"/>
      <c r="W114" s="44"/>
      <c r="X114" s="43"/>
      <c r="Y114" s="43"/>
      <c r="Z114" s="43"/>
    </row>
    <row r="115" spans="10:26" ht="12.75">
      <c r="J115" s="94"/>
      <c r="K115" s="95"/>
      <c r="L115" s="93"/>
      <c r="M115" s="87"/>
      <c r="W115" s="44"/>
      <c r="X115" s="43"/>
      <c r="Y115" s="43"/>
      <c r="Z115" s="43"/>
    </row>
    <row r="116" spans="10:23" ht="12.75">
      <c r="J116" s="94"/>
      <c r="K116" s="95"/>
      <c r="L116" s="93"/>
      <c r="M116" s="87"/>
      <c r="W116" s="44"/>
    </row>
    <row r="117" spans="10:23" ht="12.75">
      <c r="J117" s="94"/>
      <c r="K117" s="95"/>
      <c r="L117" s="93"/>
      <c r="M117" s="87"/>
      <c r="W117" s="44"/>
    </row>
    <row r="118" spans="10:23" ht="12.75">
      <c r="J118" s="94"/>
      <c r="K118" s="95"/>
      <c r="L118" s="93"/>
      <c r="M118" s="87"/>
      <c r="W118" s="44"/>
    </row>
    <row r="119" spans="10:23" ht="12.75">
      <c r="J119" s="94"/>
      <c r="K119" s="95"/>
      <c r="L119" s="93"/>
      <c r="M119" s="87"/>
      <c r="W119" s="44"/>
    </row>
    <row r="120" spans="10:23" ht="12.75">
      <c r="J120" s="94"/>
      <c r="K120" s="95"/>
      <c r="L120" s="93"/>
      <c r="M120" s="87"/>
      <c r="W120" s="44"/>
    </row>
    <row r="121" spans="10:23" ht="12.75">
      <c r="J121" s="94"/>
      <c r="K121" s="95"/>
      <c r="L121" s="93"/>
      <c r="M121" s="87"/>
      <c r="W121" s="44"/>
    </row>
    <row r="122" spans="10:23" ht="12.75">
      <c r="J122" s="94"/>
      <c r="K122" s="95"/>
      <c r="L122" s="93"/>
      <c r="M122" s="87"/>
      <c r="W122" s="44"/>
    </row>
    <row r="123" spans="10:23" ht="12.75">
      <c r="J123" s="94"/>
      <c r="K123" s="95"/>
      <c r="L123" s="93"/>
      <c r="M123" s="87"/>
      <c r="W123" s="44"/>
    </row>
    <row r="124" spans="10:23" ht="12.75">
      <c r="J124" s="94"/>
      <c r="K124" s="95"/>
      <c r="L124" s="93"/>
      <c r="M124" s="87"/>
      <c r="W124" s="44"/>
    </row>
    <row r="125" spans="10:23" ht="12.75">
      <c r="J125" s="94"/>
      <c r="K125" s="95"/>
      <c r="L125" s="93"/>
      <c r="M125" s="87"/>
      <c r="W125" s="44"/>
    </row>
    <row r="126" spans="10:23" ht="12.75">
      <c r="J126" s="94"/>
      <c r="K126" s="95"/>
      <c r="L126" s="93"/>
      <c r="M126" s="87"/>
      <c r="W126" s="44"/>
    </row>
    <row r="127" spans="10:23" ht="12.75">
      <c r="J127" s="94"/>
      <c r="K127" s="95"/>
      <c r="L127" s="93"/>
      <c r="M127" s="87"/>
      <c r="W127" s="44"/>
    </row>
    <row r="128" spans="10:23" ht="12.75">
      <c r="J128" s="94"/>
      <c r="K128" s="95"/>
      <c r="L128" s="93"/>
      <c r="M128" s="87"/>
      <c r="W128" s="44"/>
    </row>
    <row r="129" spans="10:23" ht="12.75">
      <c r="J129" s="94"/>
      <c r="K129" s="95"/>
      <c r="L129" s="93"/>
      <c r="M129" s="87"/>
      <c r="W129" s="44"/>
    </row>
    <row r="130" spans="10:23" ht="12.75">
      <c r="J130" s="94"/>
      <c r="K130" s="95"/>
      <c r="L130" s="93"/>
      <c r="M130" s="87"/>
      <c r="W130" s="44"/>
    </row>
    <row r="131" spans="10:23" ht="12.75">
      <c r="J131" s="94"/>
      <c r="K131" s="95"/>
      <c r="L131" s="93"/>
      <c r="M131" s="87"/>
      <c r="W131" s="44"/>
    </row>
    <row r="132" spans="10:23" ht="12.75">
      <c r="J132" s="94"/>
      <c r="K132" s="95"/>
      <c r="L132" s="93"/>
      <c r="M132" s="87"/>
      <c r="W132" s="44"/>
    </row>
    <row r="133" spans="10:23" ht="12.75">
      <c r="J133" s="94"/>
      <c r="K133" s="95"/>
      <c r="L133" s="93"/>
      <c r="M133" s="87"/>
      <c r="W133" s="44"/>
    </row>
    <row r="134" spans="10:23" ht="12.75">
      <c r="J134" s="94"/>
      <c r="K134" s="95"/>
      <c r="L134" s="93"/>
      <c r="M134" s="87"/>
      <c r="W134" s="44"/>
    </row>
    <row r="135" spans="10:23" ht="12.75">
      <c r="J135" s="94"/>
      <c r="K135" s="95"/>
      <c r="L135" s="93"/>
      <c r="M135" s="87"/>
      <c r="W135" s="44"/>
    </row>
    <row r="136" spans="10:23" ht="12.75">
      <c r="J136" s="94"/>
      <c r="K136" s="95"/>
      <c r="L136" s="93"/>
      <c r="M136" s="87"/>
      <c r="W136" s="44"/>
    </row>
    <row r="137" spans="10:23" ht="12.75">
      <c r="J137" s="94"/>
      <c r="K137" s="95"/>
      <c r="L137" s="93"/>
      <c r="M137" s="87"/>
      <c r="W137" s="44"/>
    </row>
    <row r="138" spans="10:23" ht="12.75">
      <c r="J138" s="94"/>
      <c r="K138" s="95"/>
      <c r="L138" s="93"/>
      <c r="M138" s="87"/>
      <c r="W138" s="44"/>
    </row>
    <row r="139" spans="10:23" ht="12.75">
      <c r="J139" s="94"/>
      <c r="K139" s="95"/>
      <c r="L139" s="93"/>
      <c r="M139" s="87"/>
      <c r="W139" s="44"/>
    </row>
    <row r="140" spans="10:23" ht="12.75">
      <c r="J140" s="94"/>
      <c r="K140" s="95"/>
      <c r="L140" s="93"/>
      <c r="M140" s="87"/>
      <c r="W140" s="44"/>
    </row>
    <row r="141" spans="10:23" ht="12.75">
      <c r="J141" s="94"/>
      <c r="K141" s="95"/>
      <c r="L141" s="93"/>
      <c r="M141" s="87"/>
      <c r="W141" s="44"/>
    </row>
    <row r="142" spans="10:23" ht="12.75">
      <c r="J142" s="94"/>
      <c r="K142" s="95"/>
      <c r="L142" s="93"/>
      <c r="M142" s="87"/>
      <c r="W142" s="44"/>
    </row>
    <row r="143" spans="10:23" ht="12.75">
      <c r="J143" s="94"/>
      <c r="K143" s="95"/>
      <c r="L143" s="93"/>
      <c r="M143" s="87"/>
      <c r="W143" s="44"/>
    </row>
    <row r="144" spans="10:23" ht="12.75">
      <c r="J144" s="94"/>
      <c r="K144" s="95"/>
      <c r="L144" s="93"/>
      <c r="M144" s="87"/>
      <c r="W144" s="44"/>
    </row>
    <row r="145" spans="10:23" ht="12.75">
      <c r="J145" s="94"/>
      <c r="K145" s="95"/>
      <c r="L145" s="93"/>
      <c r="M145" s="87"/>
      <c r="W145" s="44"/>
    </row>
    <row r="146" spans="10:23" ht="12.75">
      <c r="J146" s="94"/>
      <c r="K146" s="95"/>
      <c r="L146" s="93"/>
      <c r="M146" s="87"/>
      <c r="W146" s="44"/>
    </row>
    <row r="147" spans="10:23" ht="12.75">
      <c r="J147" s="94"/>
      <c r="K147" s="95"/>
      <c r="L147" s="93"/>
      <c r="M147" s="87"/>
      <c r="W147" s="44"/>
    </row>
    <row r="148" spans="10:23" ht="12.75">
      <c r="J148" s="94"/>
      <c r="K148" s="95"/>
      <c r="L148" s="93"/>
      <c r="M148" s="87"/>
      <c r="W148" s="44"/>
    </row>
    <row r="149" spans="10:23" ht="12.75">
      <c r="J149" s="94"/>
      <c r="K149" s="95"/>
      <c r="L149" s="93"/>
      <c r="M149" s="87"/>
      <c r="W149" s="44"/>
    </row>
    <row r="150" spans="10:23" ht="12.75">
      <c r="J150" s="94"/>
      <c r="K150" s="95"/>
      <c r="L150" s="93"/>
      <c r="M150" s="87"/>
      <c r="W150" s="44"/>
    </row>
    <row r="151" spans="10:23" ht="12.75">
      <c r="J151" s="94"/>
      <c r="K151" s="95"/>
      <c r="L151" s="93"/>
      <c r="M151" s="87"/>
      <c r="W151" s="44"/>
    </row>
    <row r="152" spans="10:23" ht="12.75">
      <c r="J152" s="94"/>
      <c r="K152" s="95"/>
      <c r="L152" s="93"/>
      <c r="M152" s="87"/>
      <c r="W152" s="44"/>
    </row>
    <row r="153" spans="10:23" ht="12.75">
      <c r="J153" s="94"/>
      <c r="K153" s="95"/>
      <c r="L153" s="93"/>
      <c r="M153" s="87"/>
      <c r="W153" s="44"/>
    </row>
    <row r="154" spans="10:23" ht="12.75">
      <c r="J154" s="94"/>
      <c r="K154" s="95"/>
      <c r="L154" s="93"/>
      <c r="M154" s="87"/>
      <c r="W154" s="44"/>
    </row>
    <row r="155" spans="10:23" ht="12.75">
      <c r="J155" s="94"/>
      <c r="K155" s="95"/>
      <c r="L155" s="93"/>
      <c r="M155" s="87"/>
      <c r="W155" s="44"/>
    </row>
    <row r="156" spans="10:23" ht="12.75">
      <c r="J156" s="94"/>
      <c r="K156" s="95"/>
      <c r="L156" s="93"/>
      <c r="M156" s="87"/>
      <c r="W156" s="44"/>
    </row>
    <row r="157" spans="10:23" ht="12.75">
      <c r="J157" s="94"/>
      <c r="K157" s="95"/>
      <c r="L157" s="93"/>
      <c r="M157" s="87"/>
      <c r="W157" s="44"/>
    </row>
    <row r="158" spans="10:23" ht="12.75">
      <c r="J158" s="94"/>
      <c r="K158" s="95"/>
      <c r="L158" s="93"/>
      <c r="M158" s="87"/>
      <c r="W158" s="44"/>
    </row>
    <row r="159" spans="10:23" ht="12.75">
      <c r="J159" s="94"/>
      <c r="K159" s="95"/>
      <c r="L159" s="93"/>
      <c r="M159" s="87"/>
      <c r="W159" s="44"/>
    </row>
    <row r="160" spans="10:23" ht="12.75">
      <c r="J160" s="94"/>
      <c r="K160" s="95"/>
      <c r="L160" s="93"/>
      <c r="M160" s="87"/>
      <c r="W160" s="44"/>
    </row>
    <row r="161" spans="10:23" ht="12.75">
      <c r="J161" s="94"/>
      <c r="K161" s="95"/>
      <c r="L161" s="93"/>
      <c r="M161" s="87"/>
      <c r="W161" s="44"/>
    </row>
    <row r="162" spans="10:23" ht="12.75">
      <c r="J162" s="94"/>
      <c r="K162" s="95"/>
      <c r="L162" s="93"/>
      <c r="M162" s="87"/>
      <c r="W162" s="44"/>
    </row>
    <row r="163" spans="10:23" ht="12.75">
      <c r="J163" s="94"/>
      <c r="K163" s="95"/>
      <c r="L163" s="93"/>
      <c r="M163" s="87"/>
      <c r="W163" s="44"/>
    </row>
    <row r="164" spans="10:23" ht="12.75">
      <c r="J164" s="94"/>
      <c r="K164" s="95"/>
      <c r="L164" s="93"/>
      <c r="M164" s="87"/>
      <c r="W164" s="44"/>
    </row>
    <row r="165" spans="10:23" ht="12.75">
      <c r="J165" s="94"/>
      <c r="K165" s="95"/>
      <c r="L165" s="93"/>
      <c r="M165" s="87"/>
      <c r="W165" s="44"/>
    </row>
    <row r="166" spans="10:23" ht="12.75">
      <c r="J166" s="94"/>
      <c r="K166" s="95"/>
      <c r="L166" s="93"/>
      <c r="M166" s="87"/>
      <c r="W166" s="44"/>
    </row>
    <row r="167" spans="10:23" ht="12.75">
      <c r="J167" s="94"/>
      <c r="K167" s="95"/>
      <c r="L167" s="93"/>
      <c r="M167" s="87"/>
      <c r="W167" s="44"/>
    </row>
    <row r="168" spans="10:23" ht="12.75">
      <c r="J168" s="94"/>
      <c r="K168" s="95"/>
      <c r="L168" s="93"/>
      <c r="M168" s="87"/>
      <c r="W168" s="44"/>
    </row>
    <row r="169" spans="10:23" ht="12.75">
      <c r="J169" s="94"/>
      <c r="K169" s="95"/>
      <c r="L169" s="93"/>
      <c r="M169" s="87"/>
      <c r="W169" s="44"/>
    </row>
    <row r="170" spans="10:23" ht="12.75">
      <c r="J170" s="94"/>
      <c r="K170" s="95"/>
      <c r="L170" s="93"/>
      <c r="M170" s="87"/>
      <c r="W170" s="44"/>
    </row>
    <row r="171" spans="10:23" ht="12.75">
      <c r="J171" s="94"/>
      <c r="K171" s="95"/>
      <c r="L171" s="93"/>
      <c r="M171" s="87"/>
      <c r="W171" s="44"/>
    </row>
    <row r="172" spans="10:23" ht="12.75">
      <c r="J172" s="94"/>
      <c r="K172" s="95"/>
      <c r="L172" s="93"/>
      <c r="M172" s="87"/>
      <c r="W172" s="44"/>
    </row>
    <row r="173" spans="10:23" ht="12.75">
      <c r="J173" s="94"/>
      <c r="K173" s="95"/>
      <c r="L173" s="93"/>
      <c r="M173" s="87"/>
      <c r="W173" s="44"/>
    </row>
    <row r="174" spans="10:23" ht="12.75">
      <c r="J174" s="94"/>
      <c r="K174" s="95"/>
      <c r="L174" s="93"/>
      <c r="M174" s="87"/>
      <c r="W174" s="44"/>
    </row>
    <row r="175" spans="10:23" ht="12.75">
      <c r="J175" s="94"/>
      <c r="K175" s="95"/>
      <c r="L175" s="93"/>
      <c r="M175" s="87"/>
      <c r="W175" s="44"/>
    </row>
    <row r="176" spans="10:23" ht="12.75">
      <c r="J176" s="94"/>
      <c r="K176" s="95"/>
      <c r="L176" s="93"/>
      <c r="M176" s="87"/>
      <c r="W176" s="44"/>
    </row>
    <row r="177" spans="10:23" ht="12.75">
      <c r="J177" s="94"/>
      <c r="K177" s="95"/>
      <c r="L177" s="93"/>
      <c r="M177" s="87"/>
      <c r="W177" s="44"/>
    </row>
    <row r="178" spans="10:23" ht="12.75">
      <c r="J178" s="94"/>
      <c r="K178" s="95"/>
      <c r="L178" s="93"/>
      <c r="M178" s="87"/>
      <c r="W178" s="44"/>
    </row>
    <row r="179" spans="10:23" ht="12.75">
      <c r="J179" s="94"/>
      <c r="K179" s="95"/>
      <c r="L179" s="93"/>
      <c r="M179" s="87"/>
      <c r="W179" s="44"/>
    </row>
    <row r="180" spans="10:23" ht="12.75">
      <c r="J180" s="94"/>
      <c r="K180" s="95"/>
      <c r="L180" s="93"/>
      <c r="M180" s="87"/>
      <c r="W180" s="44"/>
    </row>
    <row r="181" spans="10:23" ht="12.75">
      <c r="J181" s="94"/>
      <c r="K181" s="95"/>
      <c r="L181" s="93"/>
      <c r="M181" s="87"/>
      <c r="W181" s="44"/>
    </row>
    <row r="182" spans="10:23" ht="12.75">
      <c r="J182" s="94"/>
      <c r="K182" s="95"/>
      <c r="L182" s="93"/>
      <c r="M182" s="87"/>
      <c r="W182" s="44"/>
    </row>
    <row r="183" spans="10:23" ht="12.75">
      <c r="J183" s="94"/>
      <c r="K183" s="95"/>
      <c r="L183" s="93"/>
      <c r="M183" s="87"/>
      <c r="W183" s="44"/>
    </row>
    <row r="184" spans="10:23" ht="12.75">
      <c r="J184" s="94"/>
      <c r="K184" s="95"/>
      <c r="L184" s="93"/>
      <c r="M184" s="87"/>
      <c r="W184" s="44"/>
    </row>
    <row r="185" spans="10:23" ht="12.75">
      <c r="J185" s="94"/>
      <c r="K185" s="95"/>
      <c r="L185" s="93"/>
      <c r="M185" s="87"/>
      <c r="W185" s="44"/>
    </row>
    <row r="186" spans="10:23" ht="12.75">
      <c r="J186" s="94"/>
      <c r="K186" s="95"/>
      <c r="L186" s="93"/>
      <c r="M186" s="87"/>
      <c r="W186" s="44"/>
    </row>
    <row r="187" spans="10:23" ht="12.75">
      <c r="J187" s="94"/>
      <c r="K187" s="95"/>
      <c r="L187" s="93"/>
      <c r="M187" s="87"/>
      <c r="W187" s="44"/>
    </row>
    <row r="188" spans="10:23" ht="12.75">
      <c r="J188" s="94"/>
      <c r="K188" s="95"/>
      <c r="L188" s="93"/>
      <c r="M188" s="87"/>
      <c r="W188" s="44"/>
    </row>
    <row r="189" spans="10:23" ht="12.75">
      <c r="J189" s="94"/>
      <c r="K189" s="95"/>
      <c r="L189" s="93"/>
      <c r="M189" s="87"/>
      <c r="W189" s="44"/>
    </row>
    <row r="190" spans="10:23" ht="12.75">
      <c r="J190" s="94"/>
      <c r="K190" s="95"/>
      <c r="L190" s="93"/>
      <c r="M190" s="87"/>
      <c r="W190" s="44"/>
    </row>
    <row r="191" spans="10:23" ht="12.75">
      <c r="J191" s="94"/>
      <c r="K191" s="95"/>
      <c r="L191" s="93"/>
      <c r="M191" s="87"/>
      <c r="W191" s="44"/>
    </row>
    <row r="192" spans="10:23" ht="12.75">
      <c r="J192" s="94"/>
      <c r="K192" s="95"/>
      <c r="L192" s="93"/>
      <c r="M192" s="87"/>
      <c r="W192" s="44"/>
    </row>
    <row r="193" spans="10:23" ht="12.75">
      <c r="J193" s="94"/>
      <c r="K193" s="95"/>
      <c r="L193" s="93"/>
      <c r="M193" s="87"/>
      <c r="W193" s="44"/>
    </row>
    <row r="194" spans="10:23" ht="12.75">
      <c r="J194" s="94"/>
      <c r="K194" s="95"/>
      <c r="L194" s="93"/>
      <c r="M194" s="87"/>
      <c r="W194" s="44"/>
    </row>
    <row r="195" spans="10:23" ht="12.75">
      <c r="J195" s="94"/>
      <c r="K195" s="95"/>
      <c r="L195" s="93"/>
      <c r="M195" s="87"/>
      <c r="W195" s="44"/>
    </row>
    <row r="196" spans="10:23" ht="12.75">
      <c r="J196" s="94"/>
      <c r="K196" s="95"/>
      <c r="L196" s="93"/>
      <c r="M196" s="87"/>
      <c r="W196" s="44"/>
    </row>
    <row r="197" spans="10:23" ht="12.75">
      <c r="J197" s="94"/>
      <c r="K197" s="95"/>
      <c r="L197" s="93"/>
      <c r="M197" s="87"/>
      <c r="W197" s="44"/>
    </row>
    <row r="198" spans="10:13" ht="12.75">
      <c r="J198" s="94"/>
      <c r="K198" s="95"/>
      <c r="L198" s="93"/>
      <c r="M198" s="87"/>
    </row>
    <row r="199" spans="10:13" ht="12.75">
      <c r="J199" s="94"/>
      <c r="K199" s="95"/>
      <c r="L199" s="93"/>
      <c r="M199" s="87"/>
    </row>
    <row r="200" spans="10:13" ht="12.75">
      <c r="J200" s="94"/>
      <c r="K200" s="95"/>
      <c r="L200" s="93"/>
      <c r="M200" s="87"/>
    </row>
    <row r="201" spans="10:13" ht="12.75">
      <c r="J201" s="94"/>
      <c r="K201" s="95"/>
      <c r="L201" s="93"/>
      <c r="M201" s="87"/>
    </row>
    <row r="202" spans="10:13" ht="12.75">
      <c r="J202" s="94"/>
      <c r="K202" s="95"/>
      <c r="L202" s="93"/>
      <c r="M202" s="87"/>
    </row>
    <row r="203" spans="10:13" ht="12.75">
      <c r="J203" s="94"/>
      <c r="K203" s="95"/>
      <c r="L203" s="93"/>
      <c r="M203" s="87"/>
    </row>
    <row r="204" spans="10:13" ht="12.75">
      <c r="J204" s="94"/>
      <c r="K204" s="95"/>
      <c r="L204" s="93"/>
      <c r="M204" s="87"/>
    </row>
    <row r="205" spans="10:13" ht="12.75">
      <c r="J205" s="94"/>
      <c r="K205" s="95"/>
      <c r="L205" s="93"/>
      <c r="M205" s="87"/>
    </row>
    <row r="206" spans="10:13" ht="12.75">
      <c r="J206" s="94"/>
      <c r="K206" s="95"/>
      <c r="L206" s="93"/>
      <c r="M206" s="87"/>
    </row>
    <row r="207" spans="10:13" ht="12.75">
      <c r="J207" s="94"/>
      <c r="K207" s="95"/>
      <c r="L207" s="93"/>
      <c r="M207" s="87"/>
    </row>
    <row r="208" spans="10:13" ht="12.75">
      <c r="J208" s="94"/>
      <c r="K208" s="95"/>
      <c r="L208" s="93"/>
      <c r="M208" s="87"/>
    </row>
    <row r="209" spans="10:13" ht="12.75">
      <c r="J209" s="94"/>
      <c r="K209" s="95"/>
      <c r="L209" s="93"/>
      <c r="M209" s="87"/>
    </row>
    <row r="210" spans="10:13" ht="12.75">
      <c r="J210" s="94"/>
      <c r="K210" s="95"/>
      <c r="L210" s="93"/>
      <c r="M210" s="87"/>
    </row>
    <row r="211" spans="10:13" ht="12.75">
      <c r="J211" s="94"/>
      <c r="K211" s="95"/>
      <c r="L211" s="93"/>
      <c r="M211" s="87"/>
    </row>
    <row r="212" spans="10:13" ht="12.75">
      <c r="J212" s="94"/>
      <c r="K212" s="95"/>
      <c r="L212" s="93"/>
      <c r="M212" s="87"/>
    </row>
    <row r="213" spans="10:13" ht="12.75">
      <c r="J213" s="94"/>
      <c r="K213" s="95"/>
      <c r="L213" s="93"/>
      <c r="M213" s="87"/>
    </row>
    <row r="214" spans="10:13" ht="12.75">
      <c r="J214" s="94"/>
      <c r="K214" s="95"/>
      <c r="L214" s="93"/>
      <c r="M214" s="87"/>
    </row>
    <row r="215" spans="10:13" ht="12.75">
      <c r="J215" s="94"/>
      <c r="K215" s="95"/>
      <c r="L215" s="93"/>
      <c r="M215" s="87"/>
    </row>
    <row r="216" spans="10:13" ht="12.75">
      <c r="J216" s="94"/>
      <c r="K216" s="95"/>
      <c r="L216" s="93"/>
      <c r="M216" s="87"/>
    </row>
    <row r="217" spans="10:13" ht="12.75">
      <c r="J217" s="94"/>
      <c r="K217" s="95"/>
      <c r="L217" s="93"/>
      <c r="M217" s="87"/>
    </row>
    <row r="218" spans="10:13" ht="12.75">
      <c r="J218" s="94"/>
      <c r="K218" s="95"/>
      <c r="L218" s="93"/>
      <c r="M218" s="87"/>
    </row>
    <row r="219" spans="10:13" ht="12.75">
      <c r="J219" s="94"/>
      <c r="K219" s="95"/>
      <c r="L219" s="93"/>
      <c r="M219" s="87"/>
    </row>
    <row r="220" spans="10:13" ht="12.75">
      <c r="J220" s="94"/>
      <c r="K220" s="95"/>
      <c r="L220" s="93"/>
      <c r="M220" s="87"/>
    </row>
    <row r="221" spans="10:13" ht="12.75">
      <c r="J221" s="94"/>
      <c r="K221" s="95"/>
      <c r="L221" s="93"/>
      <c r="M221" s="87"/>
    </row>
    <row r="222" spans="10:13" ht="12.75">
      <c r="J222" s="94"/>
      <c r="K222" s="95"/>
      <c r="L222" s="93"/>
      <c r="M222" s="87"/>
    </row>
    <row r="223" spans="10:13" ht="12.75">
      <c r="J223" s="94"/>
      <c r="K223" s="95"/>
      <c r="L223" s="93"/>
      <c r="M223" s="87"/>
    </row>
    <row r="224" spans="10:13" ht="12.75">
      <c r="J224" s="94"/>
      <c r="K224" s="95"/>
      <c r="L224" s="93"/>
      <c r="M224" s="87"/>
    </row>
    <row r="225" spans="10:13" ht="12.75">
      <c r="J225" s="93"/>
      <c r="K225" s="95"/>
      <c r="L225" s="93"/>
      <c r="M225" s="87"/>
    </row>
  </sheetData>
  <sheetProtection/>
  <mergeCells count="1">
    <mergeCell ref="B2:J19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71994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AF2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8" customWidth="1"/>
    <col min="2" max="2" width="8.8515625" style="98" customWidth="1"/>
    <col min="3" max="5" width="9.140625" style="98" customWidth="1"/>
    <col min="6" max="6" width="10.00390625" style="98" bestFit="1" customWidth="1"/>
    <col min="7" max="7" width="9.140625" style="98" customWidth="1"/>
    <col min="8" max="8" width="10.28125" style="98" customWidth="1"/>
    <col min="9" max="9" width="10.00390625" style="98" bestFit="1" customWidth="1"/>
    <col min="10" max="10" width="9.140625" style="98" customWidth="1"/>
    <col min="11" max="11" width="9.57421875" style="98" bestFit="1" customWidth="1"/>
    <col min="12" max="14" width="9.140625" style="98" customWidth="1"/>
    <col min="15" max="15" width="9.57421875" style="98" bestFit="1" customWidth="1"/>
    <col min="16" max="20" width="9.140625" style="98" customWidth="1"/>
    <col min="21" max="21" width="9.57421875" style="98" bestFit="1" customWidth="1"/>
    <col min="22" max="22" width="11.00390625" style="98" bestFit="1" customWidth="1"/>
    <col min="23" max="24" width="9.140625" style="98" customWidth="1"/>
    <col min="25" max="25" width="9.57421875" style="98" bestFit="1" customWidth="1"/>
    <col min="26" max="16384" width="9.140625" style="98" customWidth="1"/>
  </cols>
  <sheetData>
    <row r="1" spans="26:32" ht="18">
      <c r="Z1" s="194" t="s">
        <v>321</v>
      </c>
      <c r="AA1" s="194"/>
      <c r="AB1" s="194"/>
      <c r="AC1" s="194"/>
      <c r="AD1" s="194"/>
      <c r="AE1" s="194"/>
      <c r="AF1" s="194"/>
    </row>
    <row r="2" spans="2:32" ht="12.75">
      <c r="B2" s="191" t="s">
        <v>386</v>
      </c>
      <c r="C2" s="192"/>
      <c r="D2" s="192"/>
      <c r="E2" s="192"/>
      <c r="F2" s="192"/>
      <c r="G2" s="192"/>
      <c r="H2" s="192"/>
      <c r="I2" s="192"/>
      <c r="J2" s="192"/>
      <c r="Z2" s="193" t="s">
        <v>322</v>
      </c>
      <c r="AA2" s="193"/>
      <c r="AB2" s="193"/>
      <c r="AC2" s="193"/>
      <c r="AD2" s="193" t="s">
        <v>350</v>
      </c>
      <c r="AE2" s="193"/>
      <c r="AF2" s="193"/>
    </row>
    <row r="3" spans="2:32" ht="15.75">
      <c r="B3" s="192"/>
      <c r="C3" s="192"/>
      <c r="D3" s="192"/>
      <c r="E3" s="192"/>
      <c r="F3" s="192"/>
      <c r="G3" s="192"/>
      <c r="H3" s="192"/>
      <c r="I3" s="192"/>
      <c r="J3" s="192"/>
      <c r="W3" s="99"/>
      <c r="Z3" s="108" t="s">
        <v>323</v>
      </c>
      <c r="AA3" s="107" t="s">
        <v>384</v>
      </c>
      <c r="AB3" s="107" t="s">
        <v>385</v>
      </c>
      <c r="AC3" s="107" t="s">
        <v>308</v>
      </c>
      <c r="AD3" s="108" t="s">
        <v>323</v>
      </c>
      <c r="AE3" s="107" t="s">
        <v>324</v>
      </c>
      <c r="AF3" s="107" t="s">
        <v>308</v>
      </c>
    </row>
    <row r="4" spans="2:32" ht="12.75">
      <c r="B4" s="192"/>
      <c r="C4" s="192"/>
      <c r="D4" s="192"/>
      <c r="E4" s="192"/>
      <c r="F4" s="192"/>
      <c r="G4" s="192"/>
      <c r="H4" s="192"/>
      <c r="I4" s="192"/>
      <c r="J4" s="192"/>
      <c r="W4" s="99"/>
      <c r="X4" s="99"/>
      <c r="Y4" s="99"/>
      <c r="Z4" s="117"/>
      <c r="AA4" s="117"/>
      <c r="AB4" s="117"/>
      <c r="AC4" s="119"/>
      <c r="AD4" s="117"/>
      <c r="AE4" s="117"/>
      <c r="AF4" s="119"/>
    </row>
    <row r="5" spans="2:32" ht="12.75">
      <c r="B5" s="192"/>
      <c r="C5" s="192"/>
      <c r="D5" s="192"/>
      <c r="E5" s="192"/>
      <c r="F5" s="192"/>
      <c r="G5" s="192"/>
      <c r="H5" s="192"/>
      <c r="I5" s="192"/>
      <c r="J5" s="192"/>
      <c r="W5" s="100"/>
      <c r="X5" s="101"/>
      <c r="Z5" s="117"/>
      <c r="AA5" s="117"/>
      <c r="AB5" s="117"/>
      <c r="AC5" s="119"/>
      <c r="AD5" s="117"/>
      <c r="AE5" s="117"/>
      <c r="AF5" s="119"/>
    </row>
    <row r="6" spans="2:32" ht="12.75">
      <c r="B6" s="192"/>
      <c r="C6" s="192"/>
      <c r="D6" s="192"/>
      <c r="E6" s="192"/>
      <c r="F6" s="192"/>
      <c r="G6" s="192"/>
      <c r="H6" s="192"/>
      <c r="I6" s="192"/>
      <c r="J6" s="192"/>
      <c r="W6" s="100"/>
      <c r="X6" s="101"/>
      <c r="Y6" s="101"/>
      <c r="Z6" s="117"/>
      <c r="AA6" s="117"/>
      <c r="AB6" s="117"/>
      <c r="AC6" s="119"/>
      <c r="AD6" s="117"/>
      <c r="AE6" s="117"/>
      <c r="AF6" s="119"/>
    </row>
    <row r="7" spans="2:32" ht="12.75">
      <c r="B7" s="192"/>
      <c r="C7" s="192"/>
      <c r="D7" s="192"/>
      <c r="E7" s="192"/>
      <c r="F7" s="192"/>
      <c r="G7" s="192"/>
      <c r="H7" s="192"/>
      <c r="I7" s="192"/>
      <c r="J7" s="192"/>
      <c r="W7" s="100"/>
      <c r="X7" s="101"/>
      <c r="Y7" s="101"/>
      <c r="Z7" s="117"/>
      <c r="AA7" s="117"/>
      <c r="AB7" s="117"/>
      <c r="AC7" s="119"/>
      <c r="AD7" s="117"/>
      <c r="AE7" s="117"/>
      <c r="AF7" s="119"/>
    </row>
    <row r="8" spans="2:32" ht="12.75">
      <c r="B8" s="192"/>
      <c r="C8" s="192"/>
      <c r="D8" s="192"/>
      <c r="E8" s="192"/>
      <c r="F8" s="192"/>
      <c r="G8" s="192"/>
      <c r="H8" s="192"/>
      <c r="I8" s="192"/>
      <c r="J8" s="192"/>
      <c r="W8" s="100"/>
      <c r="X8" s="101"/>
      <c r="Y8" s="101"/>
      <c r="Z8" s="117"/>
      <c r="AA8" s="117"/>
      <c r="AB8" s="117"/>
      <c r="AC8" s="119"/>
      <c r="AD8" s="117"/>
      <c r="AE8" s="117"/>
      <c r="AF8" s="119"/>
    </row>
    <row r="9" spans="2:32" ht="12.75">
      <c r="B9" s="192"/>
      <c r="C9" s="192"/>
      <c r="D9" s="192"/>
      <c r="E9" s="192"/>
      <c r="F9" s="192"/>
      <c r="G9" s="192"/>
      <c r="H9" s="192"/>
      <c r="I9" s="192"/>
      <c r="J9" s="192"/>
      <c r="W9" s="100"/>
      <c r="X9" s="101"/>
      <c r="Y9" s="101"/>
      <c r="Z9" s="117"/>
      <c r="AA9" s="117"/>
      <c r="AB9" s="117"/>
      <c r="AC9" s="119"/>
      <c r="AD9" s="117"/>
      <c r="AE9" s="117"/>
      <c r="AF9" s="119"/>
    </row>
    <row r="10" spans="2:32" ht="12.75">
      <c r="B10" s="192"/>
      <c r="C10" s="192"/>
      <c r="D10" s="192"/>
      <c r="E10" s="192"/>
      <c r="F10" s="192"/>
      <c r="G10" s="192"/>
      <c r="H10" s="192"/>
      <c r="I10" s="192"/>
      <c r="J10" s="192"/>
      <c r="W10" s="100"/>
      <c r="X10" s="101"/>
      <c r="Y10" s="101"/>
      <c r="Z10" s="117"/>
      <c r="AA10" s="117"/>
      <c r="AB10" s="117"/>
      <c r="AC10" s="119"/>
      <c r="AD10" s="117"/>
      <c r="AE10" s="117"/>
      <c r="AF10" s="119"/>
    </row>
    <row r="11" spans="2:32" ht="12.75">
      <c r="B11" s="192"/>
      <c r="C11" s="192"/>
      <c r="D11" s="192"/>
      <c r="E11" s="192"/>
      <c r="F11" s="192"/>
      <c r="G11" s="192"/>
      <c r="H11" s="192"/>
      <c r="I11" s="192"/>
      <c r="J11" s="192"/>
      <c r="W11" s="100"/>
      <c r="X11" s="101"/>
      <c r="Y11" s="101"/>
      <c r="Z11" s="117"/>
      <c r="AA11" s="117"/>
      <c r="AB11" s="117"/>
      <c r="AC11" s="119"/>
      <c r="AD11" s="117"/>
      <c r="AE11" s="117"/>
      <c r="AF11" s="119"/>
    </row>
    <row r="12" spans="2:32" ht="12.75">
      <c r="B12" s="192"/>
      <c r="C12" s="192"/>
      <c r="D12" s="192"/>
      <c r="E12" s="192"/>
      <c r="F12" s="192"/>
      <c r="G12" s="192"/>
      <c r="H12" s="192"/>
      <c r="I12" s="192"/>
      <c r="J12" s="192"/>
      <c r="W12" s="100"/>
      <c r="X12" s="101"/>
      <c r="Y12" s="101"/>
      <c r="Z12" s="117"/>
      <c r="AA12" s="117"/>
      <c r="AB12" s="117"/>
      <c r="AC12" s="119"/>
      <c r="AD12" s="117"/>
      <c r="AE12" s="117"/>
      <c r="AF12" s="119"/>
    </row>
    <row r="13" spans="2:32" ht="12.75">
      <c r="B13" s="192"/>
      <c r="C13" s="192"/>
      <c r="D13" s="192"/>
      <c r="E13" s="192"/>
      <c r="F13" s="192"/>
      <c r="G13" s="192"/>
      <c r="H13" s="192"/>
      <c r="I13" s="192"/>
      <c r="J13" s="192"/>
      <c r="W13" s="100"/>
      <c r="X13" s="101"/>
      <c r="Y13" s="101"/>
      <c r="Z13" s="117"/>
      <c r="AA13" s="117"/>
      <c r="AB13" s="117"/>
      <c r="AC13" s="119"/>
      <c r="AD13" s="117"/>
      <c r="AE13" s="117"/>
      <c r="AF13" s="119"/>
    </row>
    <row r="14" spans="2:32" ht="12.75">
      <c r="B14" s="192"/>
      <c r="C14" s="192"/>
      <c r="D14" s="192"/>
      <c r="E14" s="192"/>
      <c r="F14" s="192"/>
      <c r="G14" s="192"/>
      <c r="H14" s="192"/>
      <c r="I14" s="192"/>
      <c r="J14" s="192"/>
      <c r="W14" s="101"/>
      <c r="X14" s="101"/>
      <c r="Y14" s="101"/>
      <c r="Z14" s="117"/>
      <c r="AA14" s="117"/>
      <c r="AB14" s="117"/>
      <c r="AC14" s="119"/>
      <c r="AD14" s="117"/>
      <c r="AE14" s="117"/>
      <c r="AF14" s="119"/>
    </row>
    <row r="15" spans="2:32" ht="12.75">
      <c r="B15" s="192"/>
      <c r="C15" s="192"/>
      <c r="D15" s="192"/>
      <c r="E15" s="192"/>
      <c r="F15" s="192"/>
      <c r="G15" s="192"/>
      <c r="H15" s="192"/>
      <c r="I15" s="192"/>
      <c r="J15" s="192"/>
      <c r="W15" s="100"/>
      <c r="X15" s="101"/>
      <c r="Y15" s="101"/>
      <c r="Z15" s="117"/>
      <c r="AA15" s="117"/>
      <c r="AB15" s="117"/>
      <c r="AC15" s="119"/>
      <c r="AD15" s="117"/>
      <c r="AE15" s="117"/>
      <c r="AF15" s="119"/>
    </row>
    <row r="16" spans="2:32" ht="12.75">
      <c r="B16" s="192"/>
      <c r="C16" s="192"/>
      <c r="D16" s="192"/>
      <c r="E16" s="192"/>
      <c r="F16" s="192"/>
      <c r="G16" s="192"/>
      <c r="H16" s="192"/>
      <c r="I16" s="192"/>
      <c r="J16" s="192"/>
      <c r="W16" s="100"/>
      <c r="X16" s="101"/>
      <c r="Y16" s="101"/>
      <c r="Z16" s="117"/>
      <c r="AA16" s="117"/>
      <c r="AB16" s="117"/>
      <c r="AC16" s="119"/>
      <c r="AD16" s="117"/>
      <c r="AE16" s="117"/>
      <c r="AF16" s="119"/>
    </row>
    <row r="17" spans="2:32" ht="12.75">
      <c r="B17" s="192"/>
      <c r="C17" s="192"/>
      <c r="D17" s="192"/>
      <c r="E17" s="192"/>
      <c r="F17" s="192"/>
      <c r="G17" s="192"/>
      <c r="H17" s="192"/>
      <c r="I17" s="192"/>
      <c r="J17" s="192"/>
      <c r="W17" s="100"/>
      <c r="X17" s="101"/>
      <c r="Y17" s="101"/>
      <c r="Z17" s="117"/>
      <c r="AA17" s="117"/>
      <c r="AB17" s="117"/>
      <c r="AC17" s="119"/>
      <c r="AD17" s="117"/>
      <c r="AE17" s="117"/>
      <c r="AF17" s="119"/>
    </row>
    <row r="18" spans="2:32" ht="12.75">
      <c r="B18" s="192"/>
      <c r="C18" s="192"/>
      <c r="D18" s="192"/>
      <c r="E18" s="192"/>
      <c r="F18" s="192"/>
      <c r="G18" s="192"/>
      <c r="H18" s="192"/>
      <c r="I18" s="192"/>
      <c r="J18" s="192"/>
      <c r="W18" s="100"/>
      <c r="X18" s="101"/>
      <c r="Y18" s="101"/>
      <c r="Z18" s="117"/>
      <c r="AA18" s="117"/>
      <c r="AB18" s="117"/>
      <c r="AC18" s="119"/>
      <c r="AD18" s="117"/>
      <c r="AE18" s="117"/>
      <c r="AF18" s="119"/>
    </row>
    <row r="19" spans="2:32" ht="12.75">
      <c r="B19" s="192"/>
      <c r="C19" s="192"/>
      <c r="D19" s="192"/>
      <c r="E19" s="192"/>
      <c r="F19" s="192"/>
      <c r="G19" s="192"/>
      <c r="H19" s="192"/>
      <c r="I19" s="192"/>
      <c r="J19" s="192"/>
      <c r="W19" s="100"/>
      <c r="X19" s="101"/>
      <c r="Y19" s="101"/>
      <c r="Z19" s="117"/>
      <c r="AA19" s="117"/>
      <c r="AB19" s="117"/>
      <c r="AC19" s="119"/>
      <c r="AD19" s="117"/>
      <c r="AE19" s="117"/>
      <c r="AF19" s="119"/>
    </row>
    <row r="20" spans="23:32" ht="12.75">
      <c r="W20" s="100"/>
      <c r="X20" s="101"/>
      <c r="Y20" s="101"/>
      <c r="Z20" s="117"/>
      <c r="AA20" s="117"/>
      <c r="AB20" s="117"/>
      <c r="AC20" s="119"/>
      <c r="AD20" s="117"/>
      <c r="AE20" s="117"/>
      <c r="AF20" s="119"/>
    </row>
    <row r="21" spans="23:32" ht="12.75">
      <c r="W21" s="100"/>
      <c r="X21" s="101"/>
      <c r="Y21" s="101"/>
      <c r="Z21" s="117"/>
      <c r="AA21" s="117"/>
      <c r="AB21" s="117"/>
      <c r="AC21" s="119"/>
      <c r="AD21" s="117"/>
      <c r="AE21" s="117"/>
      <c r="AF21" s="119"/>
    </row>
    <row r="22" spans="2:32" ht="12.75">
      <c r="B22" s="188" t="s">
        <v>246</v>
      </c>
      <c r="C22" s="156"/>
      <c r="D22" s="156"/>
      <c r="E22" s="156"/>
      <c r="F22" s="156"/>
      <c r="G22" s="156"/>
      <c r="H22" s="156"/>
      <c r="I22" s="156"/>
      <c r="J22" s="156"/>
      <c r="K22" s="157"/>
      <c r="L22" s="157"/>
      <c r="M22" s="157"/>
      <c r="W22" s="100"/>
      <c r="X22" s="101"/>
      <c r="Y22" s="101"/>
      <c r="Z22" s="117"/>
      <c r="AA22" s="117"/>
      <c r="AB22" s="117"/>
      <c r="AC22" s="119"/>
      <c r="AD22" s="117"/>
      <c r="AE22" s="117"/>
      <c r="AF22" s="119"/>
    </row>
    <row r="23" spans="2:32" ht="12.75">
      <c r="B23" s="158" t="s">
        <v>247</v>
      </c>
      <c r="C23" s="159"/>
      <c r="D23" s="160"/>
      <c r="E23" s="158" t="s">
        <v>260</v>
      </c>
      <c r="F23" s="159"/>
      <c r="G23" s="159"/>
      <c r="H23" s="161"/>
      <c r="I23" s="162"/>
      <c r="J23" s="162"/>
      <c r="K23" s="157"/>
      <c r="L23" s="157"/>
      <c r="M23" s="157"/>
      <c r="W23" s="100"/>
      <c r="X23" s="101"/>
      <c r="Y23" s="101"/>
      <c r="Z23" s="117"/>
      <c r="AA23" s="117"/>
      <c r="AB23" s="117"/>
      <c r="AC23" s="119"/>
      <c r="AD23" s="117"/>
      <c r="AE23" s="117"/>
      <c r="AF23" s="119"/>
    </row>
    <row r="24" spans="2:32" ht="15.75">
      <c r="B24" s="163" t="s">
        <v>325</v>
      </c>
      <c r="C24" s="164">
        <v>1</v>
      </c>
      <c r="D24" s="165" t="s">
        <v>178</v>
      </c>
      <c r="E24" s="163" t="s">
        <v>326</v>
      </c>
      <c r="F24" s="164">
        <f>1450</f>
        <v>1450</v>
      </c>
      <c r="G24" s="166" t="s">
        <v>250</v>
      </c>
      <c r="H24" s="167"/>
      <c r="I24" s="162"/>
      <c r="J24" s="168"/>
      <c r="K24" s="157"/>
      <c r="L24" s="157"/>
      <c r="M24" s="157"/>
      <c r="W24" s="100"/>
      <c r="X24" s="101"/>
      <c r="Y24" s="101"/>
      <c r="Z24" s="117"/>
      <c r="AA24" s="117"/>
      <c r="AB24" s="117"/>
      <c r="AC24" s="119"/>
      <c r="AD24" s="117"/>
      <c r="AE24" s="117"/>
      <c r="AF24" s="119"/>
    </row>
    <row r="25" spans="2:32" ht="15.75">
      <c r="B25" s="163" t="s">
        <v>327</v>
      </c>
      <c r="C25" s="164">
        <v>12</v>
      </c>
      <c r="D25" s="165" t="s">
        <v>178</v>
      </c>
      <c r="E25" s="163" t="s">
        <v>328</v>
      </c>
      <c r="F25" s="164">
        <v>1004.5</v>
      </c>
      <c r="G25" s="166" t="s">
        <v>312</v>
      </c>
      <c r="H25" s="167"/>
      <c r="I25" s="162"/>
      <c r="J25" s="168"/>
      <c r="K25" s="157"/>
      <c r="L25" s="157"/>
      <c r="M25" s="157"/>
      <c r="W25" s="100"/>
      <c r="X25" s="101"/>
      <c r="Y25" s="101"/>
      <c r="Z25" s="117"/>
      <c r="AA25" s="117"/>
      <c r="AB25" s="117"/>
      <c r="AC25" s="119"/>
      <c r="AD25" s="117"/>
      <c r="AE25" s="117"/>
      <c r="AF25" s="119"/>
    </row>
    <row r="26" spans="2:32" ht="15.75">
      <c r="B26" s="163" t="s">
        <v>329</v>
      </c>
      <c r="C26" s="164">
        <f>15+273.15</f>
        <v>288.15</v>
      </c>
      <c r="D26" s="165" t="s">
        <v>250</v>
      </c>
      <c r="E26" s="163" t="s">
        <v>330</v>
      </c>
      <c r="F26" s="164">
        <v>0.92</v>
      </c>
      <c r="G26" s="166" t="s">
        <v>11</v>
      </c>
      <c r="H26" s="167"/>
      <c r="I26" s="162"/>
      <c r="J26" s="168"/>
      <c r="K26" s="157"/>
      <c r="L26" s="157"/>
      <c r="M26" s="157"/>
      <c r="W26" s="100"/>
      <c r="X26" s="101"/>
      <c r="Y26" s="101"/>
      <c r="Z26" s="117"/>
      <c r="AA26" s="117"/>
      <c r="AB26" s="117"/>
      <c r="AC26" s="119"/>
      <c r="AD26" s="117"/>
      <c r="AE26" s="117"/>
      <c r="AF26" s="119"/>
    </row>
    <row r="27" spans="2:32" ht="15.75">
      <c r="B27" s="163" t="s">
        <v>331</v>
      </c>
      <c r="C27" s="164">
        <v>500</v>
      </c>
      <c r="D27" s="165" t="s">
        <v>252</v>
      </c>
      <c r="E27" s="163" t="s">
        <v>332</v>
      </c>
      <c r="F27" s="164">
        <v>1.33</v>
      </c>
      <c r="G27" s="166" t="s">
        <v>11</v>
      </c>
      <c r="H27" s="169"/>
      <c r="I27" s="162"/>
      <c r="J27" s="162"/>
      <c r="K27" s="157"/>
      <c r="L27" s="157"/>
      <c r="M27" s="157"/>
      <c r="W27" s="100"/>
      <c r="X27" s="101"/>
      <c r="Y27" s="101"/>
      <c r="Z27" s="117"/>
      <c r="AA27" s="117"/>
      <c r="AB27" s="117"/>
      <c r="AC27" s="119"/>
      <c r="AD27" s="117"/>
      <c r="AE27" s="117"/>
      <c r="AF27" s="119"/>
    </row>
    <row r="28" spans="2:32" ht="15.75">
      <c r="B28" s="163" t="s">
        <v>333</v>
      </c>
      <c r="C28" s="164">
        <v>1004.5</v>
      </c>
      <c r="D28" s="165" t="s">
        <v>312</v>
      </c>
      <c r="E28" s="170" t="s">
        <v>334</v>
      </c>
      <c r="F28" s="171">
        <v>40</v>
      </c>
      <c r="G28" s="172" t="s">
        <v>269</v>
      </c>
      <c r="H28" s="156"/>
      <c r="I28" s="156"/>
      <c r="J28" s="156"/>
      <c r="K28" s="157"/>
      <c r="L28" s="157"/>
      <c r="M28" s="157"/>
      <c r="W28" s="100"/>
      <c r="X28" s="101"/>
      <c r="Y28" s="101"/>
      <c r="Z28" s="117"/>
      <c r="AA28" s="117"/>
      <c r="AB28" s="117"/>
      <c r="AC28" s="119"/>
      <c r="AD28" s="117"/>
      <c r="AE28" s="117"/>
      <c r="AF28" s="119"/>
    </row>
    <row r="29" spans="2:32" ht="15.75">
      <c r="B29" s="163" t="s">
        <v>335</v>
      </c>
      <c r="C29" s="164">
        <v>0.82</v>
      </c>
      <c r="D29" s="165" t="s">
        <v>11</v>
      </c>
      <c r="E29" s="156"/>
      <c r="F29" s="156"/>
      <c r="G29" s="156"/>
      <c r="H29" s="162"/>
      <c r="I29" s="162"/>
      <c r="J29" s="162"/>
      <c r="K29" s="173"/>
      <c r="L29" s="157"/>
      <c r="M29" s="157"/>
      <c r="W29" s="100"/>
      <c r="X29" s="101"/>
      <c r="Y29" s="101"/>
      <c r="Z29" s="117"/>
      <c r="AA29" s="117"/>
      <c r="AB29" s="117"/>
      <c r="AC29" s="119"/>
      <c r="AD29" s="117"/>
      <c r="AE29" s="117"/>
      <c r="AF29" s="119"/>
    </row>
    <row r="30" spans="2:32" ht="15.75">
      <c r="B30" s="170" t="s">
        <v>336</v>
      </c>
      <c r="C30" s="171">
        <v>1.4</v>
      </c>
      <c r="D30" s="172" t="s">
        <v>11</v>
      </c>
      <c r="E30" s="156"/>
      <c r="F30" s="156"/>
      <c r="G30" s="156"/>
      <c r="H30" s="168"/>
      <c r="I30" s="174"/>
      <c r="J30" s="168"/>
      <c r="K30" s="118"/>
      <c r="L30" s="157"/>
      <c r="M30" s="157"/>
      <c r="W30" s="100"/>
      <c r="X30" s="101"/>
      <c r="Y30" s="101"/>
      <c r="Z30" s="117"/>
      <c r="AA30" s="117"/>
      <c r="AB30" s="117"/>
      <c r="AC30" s="119"/>
      <c r="AD30" s="117"/>
      <c r="AE30" s="117"/>
      <c r="AF30" s="119"/>
    </row>
    <row r="31" spans="2:32" ht="12.75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W31" s="100"/>
      <c r="X31" s="101"/>
      <c r="Y31" s="101"/>
      <c r="Z31" s="117"/>
      <c r="AA31" s="117"/>
      <c r="AB31" s="117"/>
      <c r="AC31" s="119"/>
      <c r="AD31" s="117"/>
      <c r="AE31" s="117"/>
      <c r="AF31" s="119"/>
    </row>
    <row r="32" spans="2:32" ht="12.75">
      <c r="B32" s="195" t="s">
        <v>249</v>
      </c>
      <c r="C32" s="195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W32" s="100"/>
      <c r="X32" s="101"/>
      <c r="Y32" s="101"/>
      <c r="Z32" s="117"/>
      <c r="AA32" s="117"/>
      <c r="AB32" s="117"/>
      <c r="AC32" s="119"/>
      <c r="AD32" s="117"/>
      <c r="AE32" s="117"/>
      <c r="AF32" s="119"/>
    </row>
    <row r="33" spans="2:32" ht="12.75">
      <c r="B33" s="175" t="s">
        <v>247</v>
      </c>
      <c r="C33" s="176"/>
      <c r="D33" s="176"/>
      <c r="E33" s="175" t="s">
        <v>261</v>
      </c>
      <c r="F33" s="176"/>
      <c r="G33" s="177"/>
      <c r="H33" s="175" t="s">
        <v>315</v>
      </c>
      <c r="I33" s="176"/>
      <c r="J33" s="177"/>
      <c r="K33" s="175" t="s">
        <v>320</v>
      </c>
      <c r="L33" s="176"/>
      <c r="M33" s="177"/>
      <c r="W33" s="100"/>
      <c r="X33" s="101"/>
      <c r="Y33" s="101"/>
      <c r="Z33" s="117"/>
      <c r="AA33" s="117"/>
      <c r="AB33" s="117"/>
      <c r="AC33" s="119"/>
      <c r="AD33" s="117"/>
      <c r="AE33" s="117"/>
      <c r="AF33" s="119"/>
    </row>
    <row r="34" spans="2:32" ht="15.75">
      <c r="B34" s="104" t="s">
        <v>337</v>
      </c>
      <c r="C34" s="102">
        <f>(C25/C24)^((C30-1)/C30)*C26</f>
        <v>586.0789493722652</v>
      </c>
      <c r="D34" s="178" t="s">
        <v>250</v>
      </c>
      <c r="E34" s="104" t="s">
        <v>338</v>
      </c>
      <c r="F34" s="103">
        <f>(C24/C25)^((F27-1)/F27)*F24</f>
        <v>782.7106207773218</v>
      </c>
      <c r="G34" s="179" t="s">
        <v>250</v>
      </c>
      <c r="H34" s="104" t="s">
        <v>339</v>
      </c>
      <c r="I34" s="102">
        <f>0.8</f>
        <v>0.8</v>
      </c>
      <c r="J34" s="180" t="s">
        <v>11</v>
      </c>
      <c r="K34" s="181" t="s">
        <v>383</v>
      </c>
      <c r="L34" s="106">
        <v>15</v>
      </c>
      <c r="M34" s="182" t="s">
        <v>179</v>
      </c>
      <c r="W34" s="100"/>
      <c r="X34" s="101"/>
      <c r="Y34" s="101"/>
      <c r="Z34" s="117"/>
      <c r="AA34" s="117"/>
      <c r="AB34" s="117"/>
      <c r="AC34" s="119"/>
      <c r="AD34" s="117"/>
      <c r="AE34" s="117"/>
      <c r="AF34" s="119"/>
    </row>
    <row r="35" spans="2:32" ht="15.75">
      <c r="B35" s="104" t="s">
        <v>340</v>
      </c>
      <c r="C35" s="102">
        <f>(C34-C26)/C29+C26</f>
        <v>651.4779870393479</v>
      </c>
      <c r="D35" s="179" t="s">
        <v>250</v>
      </c>
      <c r="E35" s="183" t="s">
        <v>341</v>
      </c>
      <c r="F35" s="105">
        <f>F24-F26*(F24-F34)</f>
        <v>836.093771115136</v>
      </c>
      <c r="G35" s="179" t="s">
        <v>250</v>
      </c>
      <c r="H35" s="183" t="s">
        <v>342</v>
      </c>
      <c r="I35" s="105">
        <v>0.05</v>
      </c>
      <c r="J35" s="179" t="s">
        <v>178</v>
      </c>
      <c r="K35" s="167"/>
      <c r="L35" s="168"/>
      <c r="M35" s="184"/>
      <c r="W35" s="100"/>
      <c r="X35" s="101"/>
      <c r="Y35" s="101"/>
      <c r="Z35" s="117"/>
      <c r="AA35" s="117"/>
      <c r="AB35" s="117"/>
      <c r="AC35" s="119"/>
      <c r="AD35" s="117"/>
      <c r="AE35" s="117"/>
      <c r="AF35" s="119"/>
    </row>
    <row r="36" spans="2:32" ht="15.75">
      <c r="B36" s="181" t="s">
        <v>343</v>
      </c>
      <c r="C36" s="106">
        <f>C28*C27*(C35-C26)*10^-6</f>
        <v>182.4814814905125</v>
      </c>
      <c r="D36" s="185" t="s">
        <v>254</v>
      </c>
      <c r="E36" s="104" t="s">
        <v>344</v>
      </c>
      <c r="F36" s="102">
        <f>C28*C27*(F24-C35)*10^-6/F28</f>
        <v>10.026442025237188</v>
      </c>
      <c r="G36" s="179" t="s">
        <v>252</v>
      </c>
      <c r="H36" s="104" t="s">
        <v>345</v>
      </c>
      <c r="I36" s="186">
        <f>sL_p(I35)</f>
        <v>0.47625378950510244</v>
      </c>
      <c r="J36" s="179" t="s">
        <v>298</v>
      </c>
      <c r="K36" s="167"/>
      <c r="L36" s="155"/>
      <c r="M36" s="168"/>
      <c r="W36" s="100"/>
      <c r="X36" s="101"/>
      <c r="Y36" s="101"/>
      <c r="Z36" s="117"/>
      <c r="AA36" s="117"/>
      <c r="AB36" s="117"/>
      <c r="AC36" s="119"/>
      <c r="AD36" s="117"/>
      <c r="AE36" s="117"/>
      <c r="AF36" s="119"/>
    </row>
    <row r="37" spans="2:32" ht="15.75">
      <c r="B37" s="156"/>
      <c r="C37" s="187"/>
      <c r="D37" s="156"/>
      <c r="E37" s="104" t="s">
        <v>346</v>
      </c>
      <c r="F37" s="102">
        <f>C27+F36</f>
        <v>510.0264420252372</v>
      </c>
      <c r="G37" s="179" t="s">
        <v>252</v>
      </c>
      <c r="H37" s="104" t="s">
        <v>347</v>
      </c>
      <c r="I37" s="102">
        <f>hL_p(I35)</f>
        <v>137.76511898849057</v>
      </c>
      <c r="J37" s="179" t="s">
        <v>171</v>
      </c>
      <c r="K37" s="167"/>
      <c r="L37" s="155"/>
      <c r="M37" s="168"/>
      <c r="W37" s="100"/>
      <c r="X37" s="101"/>
      <c r="Y37" s="101"/>
      <c r="Z37" s="117"/>
      <c r="AA37" s="117"/>
      <c r="AB37" s="117"/>
      <c r="AC37" s="119"/>
      <c r="AD37" s="117"/>
      <c r="AE37" s="117"/>
      <c r="AF37" s="119"/>
    </row>
    <row r="38" spans="2:32" ht="15.75">
      <c r="B38" s="156"/>
      <c r="C38" s="156"/>
      <c r="D38" s="156"/>
      <c r="E38" s="104" t="s">
        <v>348</v>
      </c>
      <c r="F38" s="102">
        <f>F25*F37*(F24-F35)*10^-6</f>
        <v>314.5173974987269</v>
      </c>
      <c r="G38" s="179" t="s">
        <v>254</v>
      </c>
      <c r="H38" s="181" t="s">
        <v>359</v>
      </c>
      <c r="I38" s="106">
        <f>F35-273.15-L34</f>
        <v>547.943771115136</v>
      </c>
      <c r="J38" s="182" t="s">
        <v>179</v>
      </c>
      <c r="K38" s="167"/>
      <c r="L38" s="155"/>
      <c r="M38" s="168"/>
      <c r="W38" s="100"/>
      <c r="X38" s="101"/>
      <c r="Y38" s="101"/>
      <c r="Z38" s="117"/>
      <c r="AA38" s="117"/>
      <c r="AB38" s="117"/>
      <c r="AC38" s="119"/>
      <c r="AD38" s="117"/>
      <c r="AE38" s="117"/>
      <c r="AF38" s="119"/>
    </row>
    <row r="39" spans="2:32" ht="15.75">
      <c r="B39" s="156"/>
      <c r="C39" s="156"/>
      <c r="D39" s="156"/>
      <c r="E39" s="104" t="s">
        <v>349</v>
      </c>
      <c r="F39" s="102">
        <f>C28*C27*(F24-C35)*10^-6</f>
        <v>401.0576810094875</v>
      </c>
      <c r="G39" s="179" t="s">
        <v>254</v>
      </c>
      <c r="H39" s="167"/>
      <c r="I39" s="155"/>
      <c r="J39" s="168"/>
      <c r="K39" s="168"/>
      <c r="L39" s="155"/>
      <c r="M39" s="168"/>
      <c r="W39" s="100"/>
      <c r="X39" s="101"/>
      <c r="Y39" s="101"/>
      <c r="Z39" s="117"/>
      <c r="AA39" s="117"/>
      <c r="AB39" s="117"/>
      <c r="AC39" s="119"/>
      <c r="AD39" s="117"/>
      <c r="AE39" s="117"/>
      <c r="AF39" s="119"/>
    </row>
    <row r="40" spans="2:32" ht="15.75">
      <c r="B40" s="156"/>
      <c r="C40" s="156"/>
      <c r="D40" s="156"/>
      <c r="E40" s="181" t="s">
        <v>330</v>
      </c>
      <c r="F40" s="154">
        <f>(F38-C36)/F39*100</f>
        <v>32.92192676022852</v>
      </c>
      <c r="G40" s="182" t="s">
        <v>208</v>
      </c>
      <c r="H40" s="167"/>
      <c r="I40" s="155"/>
      <c r="J40" s="168"/>
      <c r="K40" s="168"/>
      <c r="L40" s="155"/>
      <c r="M40" s="168"/>
      <c r="W40" s="100"/>
      <c r="X40" s="101"/>
      <c r="Y40" s="101"/>
      <c r="Z40" s="117"/>
      <c r="AA40" s="117"/>
      <c r="AB40" s="117"/>
      <c r="AC40" s="119"/>
      <c r="AD40" s="117"/>
      <c r="AE40" s="117"/>
      <c r="AF40" s="119"/>
    </row>
    <row r="41" spans="2:32" ht="12.75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W41" s="100"/>
      <c r="X41" s="101"/>
      <c r="Y41" s="101"/>
      <c r="Z41" s="117"/>
      <c r="AA41" s="117"/>
      <c r="AB41" s="117"/>
      <c r="AC41" s="119"/>
      <c r="AD41" s="117"/>
      <c r="AE41" s="117"/>
      <c r="AF41" s="119"/>
    </row>
    <row r="42" spans="23:32" ht="12.75">
      <c r="W42" s="100"/>
      <c r="X42" s="101"/>
      <c r="Y42" s="101"/>
      <c r="Z42" s="117"/>
      <c r="AA42" s="117"/>
      <c r="AB42" s="117"/>
      <c r="AC42" s="119"/>
      <c r="AD42" s="117"/>
      <c r="AE42" s="117"/>
      <c r="AF42" s="119"/>
    </row>
    <row r="43" spans="2:32" ht="12.75">
      <c r="B43" s="99"/>
      <c r="C43" s="99"/>
      <c r="X43" s="101"/>
      <c r="Y43" s="101"/>
      <c r="Z43" s="117"/>
      <c r="AA43" s="117"/>
      <c r="AB43" s="117"/>
      <c r="AC43" s="119"/>
      <c r="AD43" s="117"/>
      <c r="AE43" s="117"/>
      <c r="AF43" s="119"/>
    </row>
    <row r="44" spans="2:32" ht="14.25">
      <c r="B44" s="120" t="s">
        <v>360</v>
      </c>
      <c r="C44" s="123" t="s">
        <v>361</v>
      </c>
      <c r="D44" s="124" t="s">
        <v>362</v>
      </c>
      <c r="E44" s="125" t="s">
        <v>363</v>
      </c>
      <c r="F44" s="124" t="s">
        <v>364</v>
      </c>
      <c r="G44" s="124" t="s">
        <v>365</v>
      </c>
      <c r="H44" s="124" t="s">
        <v>366</v>
      </c>
      <c r="I44" s="124" t="s">
        <v>367</v>
      </c>
      <c r="J44" s="123" t="s">
        <v>368</v>
      </c>
      <c r="K44" s="124" t="s">
        <v>369</v>
      </c>
      <c r="L44" s="124" t="s">
        <v>370</v>
      </c>
      <c r="M44" s="126" t="s">
        <v>371</v>
      </c>
      <c r="N44" s="124" t="s">
        <v>372</v>
      </c>
      <c r="O44" s="124" t="s">
        <v>373</v>
      </c>
      <c r="P44" s="124" t="s">
        <v>374</v>
      </c>
      <c r="Q44" s="124" t="s">
        <v>375</v>
      </c>
      <c r="R44" s="123" t="s">
        <v>376</v>
      </c>
      <c r="S44" s="124" t="s">
        <v>377</v>
      </c>
      <c r="T44" s="124" t="s">
        <v>378</v>
      </c>
      <c r="U44" s="126" t="s">
        <v>379</v>
      </c>
      <c r="V44" s="123" t="s">
        <v>380</v>
      </c>
      <c r="W44" s="124" t="s">
        <v>381</v>
      </c>
      <c r="X44" s="126" t="s">
        <v>382</v>
      </c>
      <c r="Z44" s="117"/>
      <c r="AA44" s="117"/>
      <c r="AB44" s="117"/>
      <c r="AC44" s="119"/>
      <c r="AD44" s="117"/>
      <c r="AE44" s="117"/>
      <c r="AF44" s="119"/>
    </row>
    <row r="45" spans="2:32" ht="12.75">
      <c r="B45" s="139" t="s">
        <v>351</v>
      </c>
      <c r="C45" s="140" t="s">
        <v>352</v>
      </c>
      <c r="D45" s="141" t="s">
        <v>352</v>
      </c>
      <c r="E45" s="142" t="s">
        <v>353</v>
      </c>
      <c r="F45" s="141" t="s">
        <v>353</v>
      </c>
      <c r="G45" s="141" t="s">
        <v>353</v>
      </c>
      <c r="H45" s="141" t="s">
        <v>353</v>
      </c>
      <c r="I45" s="141" t="s">
        <v>354</v>
      </c>
      <c r="J45" s="140" t="s">
        <v>355</v>
      </c>
      <c r="K45" s="141" t="s">
        <v>355</v>
      </c>
      <c r="L45" s="141" t="s">
        <v>355</v>
      </c>
      <c r="M45" s="143" t="s">
        <v>355</v>
      </c>
      <c r="N45" s="141" t="s">
        <v>352</v>
      </c>
      <c r="O45" s="141" t="s">
        <v>356</v>
      </c>
      <c r="P45" s="141" t="s">
        <v>356</v>
      </c>
      <c r="Q45" s="141" t="s">
        <v>353</v>
      </c>
      <c r="R45" s="140" t="s">
        <v>355</v>
      </c>
      <c r="S45" s="141" t="s">
        <v>357</v>
      </c>
      <c r="T45" s="141" t="s">
        <v>355</v>
      </c>
      <c r="U45" s="143" t="s">
        <v>358</v>
      </c>
      <c r="V45" s="140" t="s">
        <v>358</v>
      </c>
      <c r="W45" s="141" t="s">
        <v>352</v>
      </c>
      <c r="X45" s="143" t="s">
        <v>358</v>
      </c>
      <c r="Y45" s="107"/>
      <c r="Z45" s="117"/>
      <c r="AA45" s="117"/>
      <c r="AB45" s="117"/>
      <c r="AC45" s="119"/>
      <c r="AD45" s="117"/>
      <c r="AE45" s="117"/>
      <c r="AF45" s="119"/>
    </row>
    <row r="46" spans="2:32" ht="12.75">
      <c r="B46" s="121">
        <v>2</v>
      </c>
      <c r="C46" s="127"/>
      <c r="D46" s="128"/>
      <c r="E46" s="129"/>
      <c r="F46" s="129"/>
      <c r="G46" s="129"/>
      <c r="H46" s="129"/>
      <c r="I46" s="130"/>
      <c r="J46" s="150"/>
      <c r="K46" s="129"/>
      <c r="L46" s="129"/>
      <c r="M46" s="151"/>
      <c r="N46" s="128"/>
      <c r="O46" s="131"/>
      <c r="P46" s="130"/>
      <c r="Q46" s="130"/>
      <c r="R46" s="146"/>
      <c r="S46" s="130"/>
      <c r="T46" s="130"/>
      <c r="U46" s="147"/>
      <c r="V46" s="144"/>
      <c r="W46" s="128"/>
      <c r="X46" s="132"/>
      <c r="Z46" s="117"/>
      <c r="AA46" s="117"/>
      <c r="AB46" s="117"/>
      <c r="AC46" s="119"/>
      <c r="AD46" s="117"/>
      <c r="AE46" s="117"/>
      <c r="AF46" s="119"/>
    </row>
    <row r="47" spans="2:32" ht="12.75">
      <c r="B47" s="121">
        <v>5</v>
      </c>
      <c r="C47" s="127"/>
      <c r="D47" s="128"/>
      <c r="E47" s="129"/>
      <c r="F47" s="129"/>
      <c r="G47" s="129"/>
      <c r="H47" s="129"/>
      <c r="I47" s="130"/>
      <c r="J47" s="150"/>
      <c r="K47" s="129"/>
      <c r="L47" s="129"/>
      <c r="M47" s="151"/>
      <c r="N47" s="128"/>
      <c r="O47" s="131"/>
      <c r="P47" s="130"/>
      <c r="Q47" s="130"/>
      <c r="R47" s="146"/>
      <c r="S47" s="130"/>
      <c r="T47" s="130"/>
      <c r="U47" s="147"/>
      <c r="V47" s="144"/>
      <c r="W47" s="128"/>
      <c r="X47" s="132"/>
      <c r="Z47" s="117"/>
      <c r="AA47" s="117"/>
      <c r="AB47" s="117"/>
      <c r="AC47" s="119"/>
      <c r="AD47" s="117"/>
      <c r="AE47" s="117"/>
      <c r="AF47" s="119"/>
    </row>
    <row r="48" spans="2:32" s="114" customFormat="1" ht="12.75">
      <c r="B48" s="121">
        <v>10</v>
      </c>
      <c r="C48" s="127"/>
      <c r="D48" s="128"/>
      <c r="E48" s="129"/>
      <c r="F48" s="129"/>
      <c r="G48" s="129"/>
      <c r="H48" s="129"/>
      <c r="I48" s="130"/>
      <c r="J48" s="150"/>
      <c r="K48" s="129"/>
      <c r="L48" s="129"/>
      <c r="M48" s="151"/>
      <c r="N48" s="128"/>
      <c r="O48" s="131"/>
      <c r="P48" s="130"/>
      <c r="Q48" s="130"/>
      <c r="R48" s="146"/>
      <c r="S48" s="130"/>
      <c r="T48" s="130"/>
      <c r="U48" s="147"/>
      <c r="V48" s="144"/>
      <c r="W48" s="128"/>
      <c r="X48" s="132"/>
      <c r="Y48" s="113"/>
      <c r="Z48" s="117"/>
      <c r="AA48" s="117"/>
      <c r="AB48" s="117"/>
      <c r="AC48" s="119"/>
      <c r="AD48" s="117"/>
      <c r="AE48" s="117"/>
      <c r="AF48" s="119"/>
    </row>
    <row r="49" spans="2:32" s="114" customFormat="1" ht="12.75">
      <c r="B49" s="121">
        <v>15</v>
      </c>
      <c r="C49" s="127"/>
      <c r="D49" s="128"/>
      <c r="E49" s="129"/>
      <c r="F49" s="129"/>
      <c r="G49" s="129"/>
      <c r="H49" s="129"/>
      <c r="I49" s="130"/>
      <c r="J49" s="150"/>
      <c r="K49" s="129"/>
      <c r="L49" s="129"/>
      <c r="M49" s="151"/>
      <c r="N49" s="128"/>
      <c r="O49" s="131"/>
      <c r="P49" s="130"/>
      <c r="Q49" s="130"/>
      <c r="R49" s="146"/>
      <c r="S49" s="130"/>
      <c r="T49" s="130"/>
      <c r="U49" s="147"/>
      <c r="V49" s="144"/>
      <c r="W49" s="128"/>
      <c r="X49" s="132"/>
      <c r="Y49" s="113"/>
      <c r="Z49" s="117"/>
      <c r="AA49" s="117"/>
      <c r="AB49" s="117"/>
      <c r="AC49" s="119"/>
      <c r="AD49" s="117"/>
      <c r="AE49" s="117"/>
      <c r="AF49" s="119"/>
    </row>
    <row r="50" spans="2:32" s="114" customFormat="1" ht="12.75">
      <c r="B50" s="121">
        <v>20</v>
      </c>
      <c r="C50" s="127"/>
      <c r="D50" s="128"/>
      <c r="E50" s="129"/>
      <c r="F50" s="129"/>
      <c r="G50" s="129"/>
      <c r="H50" s="129"/>
      <c r="I50" s="130"/>
      <c r="J50" s="150"/>
      <c r="K50" s="129"/>
      <c r="L50" s="129"/>
      <c r="M50" s="151"/>
      <c r="N50" s="128"/>
      <c r="O50" s="131"/>
      <c r="P50" s="130"/>
      <c r="Q50" s="130"/>
      <c r="R50" s="146"/>
      <c r="S50" s="130"/>
      <c r="T50" s="130"/>
      <c r="U50" s="147"/>
      <c r="V50" s="144"/>
      <c r="W50" s="128"/>
      <c r="X50" s="132"/>
      <c r="Y50" s="113"/>
      <c r="Z50" s="117"/>
      <c r="AA50" s="117"/>
      <c r="AB50" s="117"/>
      <c r="AC50" s="119"/>
      <c r="AD50" s="117"/>
      <c r="AE50" s="117"/>
      <c r="AF50" s="119"/>
    </row>
    <row r="51" spans="2:32" s="114" customFormat="1" ht="12.75">
      <c r="B51" s="121">
        <v>25</v>
      </c>
      <c r="C51" s="127"/>
      <c r="D51" s="128"/>
      <c r="E51" s="129"/>
      <c r="F51" s="129"/>
      <c r="G51" s="129"/>
      <c r="H51" s="129"/>
      <c r="I51" s="130"/>
      <c r="J51" s="150"/>
      <c r="K51" s="129"/>
      <c r="L51" s="129"/>
      <c r="M51" s="151"/>
      <c r="N51" s="128"/>
      <c r="O51" s="131"/>
      <c r="P51" s="130"/>
      <c r="Q51" s="130"/>
      <c r="R51" s="146"/>
      <c r="S51" s="130"/>
      <c r="T51" s="130"/>
      <c r="U51" s="147"/>
      <c r="V51" s="144"/>
      <c r="W51" s="128"/>
      <c r="X51" s="132"/>
      <c r="Y51" s="113"/>
      <c r="Z51" s="117"/>
      <c r="AA51" s="117"/>
      <c r="AB51" s="117"/>
      <c r="AC51" s="119"/>
      <c r="AD51" s="117"/>
      <c r="AE51" s="117"/>
      <c r="AF51" s="119"/>
    </row>
    <row r="52" spans="2:32" ht="12.75">
      <c r="B52" s="121">
        <v>30</v>
      </c>
      <c r="C52" s="127"/>
      <c r="D52" s="128"/>
      <c r="E52" s="129"/>
      <c r="F52" s="129"/>
      <c r="G52" s="129"/>
      <c r="H52" s="129"/>
      <c r="I52" s="130"/>
      <c r="J52" s="150"/>
      <c r="K52" s="129"/>
      <c r="L52" s="129"/>
      <c r="M52" s="151"/>
      <c r="N52" s="128"/>
      <c r="O52" s="131"/>
      <c r="P52" s="130"/>
      <c r="Q52" s="130"/>
      <c r="R52" s="146"/>
      <c r="S52" s="130"/>
      <c r="T52" s="130"/>
      <c r="U52" s="147"/>
      <c r="V52" s="144"/>
      <c r="W52" s="128"/>
      <c r="X52" s="132"/>
      <c r="Y52" s="115"/>
      <c r="Z52" s="117"/>
      <c r="AA52" s="117"/>
      <c r="AB52" s="117"/>
      <c r="AC52" s="119"/>
      <c r="AD52" s="117"/>
      <c r="AE52" s="117"/>
      <c r="AF52" s="119"/>
    </row>
    <row r="53" spans="2:32" ht="12.75">
      <c r="B53" s="121">
        <v>35</v>
      </c>
      <c r="C53" s="127"/>
      <c r="D53" s="128"/>
      <c r="E53" s="129"/>
      <c r="F53" s="129"/>
      <c r="G53" s="129"/>
      <c r="H53" s="129"/>
      <c r="I53" s="130"/>
      <c r="J53" s="150"/>
      <c r="K53" s="129"/>
      <c r="L53" s="129"/>
      <c r="M53" s="151"/>
      <c r="N53" s="128"/>
      <c r="O53" s="131"/>
      <c r="P53" s="130"/>
      <c r="Q53" s="130"/>
      <c r="R53" s="146"/>
      <c r="S53" s="130"/>
      <c r="T53" s="130"/>
      <c r="U53" s="147"/>
      <c r="V53" s="144"/>
      <c r="W53" s="128"/>
      <c r="X53" s="132"/>
      <c r="Y53" s="115"/>
      <c r="Z53" s="117"/>
      <c r="AA53" s="117"/>
      <c r="AB53" s="117"/>
      <c r="AC53" s="119"/>
      <c r="AD53" s="117"/>
      <c r="AE53" s="117"/>
      <c r="AF53" s="119"/>
    </row>
    <row r="54" spans="2:32" ht="12.75">
      <c r="B54" s="121">
        <v>40</v>
      </c>
      <c r="C54" s="127"/>
      <c r="D54" s="128"/>
      <c r="E54" s="129"/>
      <c r="F54" s="129"/>
      <c r="G54" s="129"/>
      <c r="H54" s="129"/>
      <c r="I54" s="130"/>
      <c r="J54" s="150"/>
      <c r="K54" s="129"/>
      <c r="L54" s="129"/>
      <c r="M54" s="151"/>
      <c r="N54" s="128"/>
      <c r="O54" s="131"/>
      <c r="P54" s="130"/>
      <c r="Q54" s="130"/>
      <c r="R54" s="146"/>
      <c r="S54" s="130"/>
      <c r="T54" s="130"/>
      <c r="U54" s="147"/>
      <c r="V54" s="144"/>
      <c r="W54" s="128"/>
      <c r="X54" s="132"/>
      <c r="Y54" s="115"/>
      <c r="Z54" s="117"/>
      <c r="AA54" s="117"/>
      <c r="AB54" s="117"/>
      <c r="AC54" s="119"/>
      <c r="AD54" s="117"/>
      <c r="AE54" s="117"/>
      <c r="AF54" s="119"/>
    </row>
    <row r="55" spans="2:32" ht="12.75">
      <c r="B55" s="121">
        <v>45</v>
      </c>
      <c r="C55" s="127"/>
      <c r="D55" s="128"/>
      <c r="E55" s="129"/>
      <c r="F55" s="129"/>
      <c r="G55" s="129"/>
      <c r="H55" s="129"/>
      <c r="I55" s="130"/>
      <c r="J55" s="150"/>
      <c r="K55" s="129"/>
      <c r="L55" s="129"/>
      <c r="M55" s="151"/>
      <c r="N55" s="128"/>
      <c r="O55" s="131"/>
      <c r="P55" s="130"/>
      <c r="Q55" s="130"/>
      <c r="R55" s="146"/>
      <c r="S55" s="130"/>
      <c r="T55" s="130"/>
      <c r="U55" s="147"/>
      <c r="V55" s="144"/>
      <c r="W55" s="128"/>
      <c r="X55" s="132"/>
      <c r="Y55" s="115"/>
      <c r="Z55" s="117"/>
      <c r="AA55" s="117"/>
      <c r="AB55" s="117"/>
      <c r="AC55" s="119"/>
      <c r="AD55" s="117"/>
      <c r="AE55" s="117"/>
      <c r="AF55" s="119"/>
    </row>
    <row r="56" spans="2:32" ht="12.75">
      <c r="B56" s="121">
        <v>50</v>
      </c>
      <c r="C56" s="127"/>
      <c r="D56" s="128"/>
      <c r="E56" s="129"/>
      <c r="F56" s="129"/>
      <c r="G56" s="129"/>
      <c r="H56" s="129"/>
      <c r="I56" s="130"/>
      <c r="J56" s="150"/>
      <c r="K56" s="129"/>
      <c r="L56" s="129"/>
      <c r="M56" s="151"/>
      <c r="N56" s="128"/>
      <c r="O56" s="131"/>
      <c r="P56" s="130"/>
      <c r="Q56" s="130"/>
      <c r="R56" s="146"/>
      <c r="S56" s="130"/>
      <c r="T56" s="130"/>
      <c r="U56" s="147"/>
      <c r="V56" s="144"/>
      <c r="W56" s="128"/>
      <c r="X56" s="132"/>
      <c r="Y56" s="115"/>
      <c r="Z56" s="117"/>
      <c r="AA56" s="117"/>
      <c r="AB56" s="117"/>
      <c r="AC56" s="119"/>
      <c r="AD56" s="117"/>
      <c r="AE56" s="117"/>
      <c r="AF56" s="119"/>
    </row>
    <row r="57" spans="2:32" ht="12.75">
      <c r="B57" s="121">
        <v>55</v>
      </c>
      <c r="C57" s="127"/>
      <c r="D57" s="128"/>
      <c r="E57" s="129"/>
      <c r="F57" s="129"/>
      <c r="G57" s="129"/>
      <c r="H57" s="129"/>
      <c r="I57" s="130"/>
      <c r="J57" s="150"/>
      <c r="K57" s="129"/>
      <c r="L57" s="129"/>
      <c r="M57" s="151"/>
      <c r="N57" s="128"/>
      <c r="O57" s="131"/>
      <c r="P57" s="130"/>
      <c r="Q57" s="130"/>
      <c r="R57" s="146"/>
      <c r="S57" s="130"/>
      <c r="T57" s="130"/>
      <c r="U57" s="147"/>
      <c r="V57" s="144"/>
      <c r="W57" s="128"/>
      <c r="X57" s="132"/>
      <c r="Y57" s="115"/>
      <c r="Z57" s="117"/>
      <c r="AA57" s="117"/>
      <c r="AB57" s="117"/>
      <c r="AC57" s="119"/>
      <c r="AD57" s="117"/>
      <c r="AE57" s="117"/>
      <c r="AF57" s="119"/>
    </row>
    <row r="58" spans="2:32" ht="12.75">
      <c r="B58" s="121">
        <v>60</v>
      </c>
      <c r="C58" s="127"/>
      <c r="D58" s="128"/>
      <c r="E58" s="129"/>
      <c r="F58" s="129"/>
      <c r="G58" s="129"/>
      <c r="H58" s="129"/>
      <c r="I58" s="130"/>
      <c r="J58" s="150"/>
      <c r="K58" s="129"/>
      <c r="L58" s="129"/>
      <c r="M58" s="151"/>
      <c r="N58" s="128"/>
      <c r="O58" s="131"/>
      <c r="P58" s="130"/>
      <c r="Q58" s="130"/>
      <c r="R58" s="146"/>
      <c r="S58" s="130"/>
      <c r="T58" s="130"/>
      <c r="U58" s="147"/>
      <c r="V58" s="144"/>
      <c r="W58" s="128"/>
      <c r="X58" s="132"/>
      <c r="Y58" s="115"/>
      <c r="Z58" s="117"/>
      <c r="AA58" s="117"/>
      <c r="AB58" s="117"/>
      <c r="AC58" s="119"/>
      <c r="AD58" s="117"/>
      <c r="AE58" s="117"/>
      <c r="AF58" s="119"/>
    </row>
    <row r="59" spans="2:32" ht="12.75">
      <c r="B59" s="121">
        <v>65</v>
      </c>
      <c r="C59" s="127"/>
      <c r="D59" s="128"/>
      <c r="E59" s="129"/>
      <c r="F59" s="129"/>
      <c r="G59" s="129"/>
      <c r="H59" s="129"/>
      <c r="I59" s="130"/>
      <c r="J59" s="150"/>
      <c r="K59" s="129"/>
      <c r="L59" s="129"/>
      <c r="M59" s="151"/>
      <c r="N59" s="128"/>
      <c r="O59" s="131"/>
      <c r="P59" s="130"/>
      <c r="Q59" s="130"/>
      <c r="R59" s="146"/>
      <c r="S59" s="130"/>
      <c r="T59" s="130"/>
      <c r="U59" s="147"/>
      <c r="V59" s="144"/>
      <c r="W59" s="128"/>
      <c r="X59" s="132"/>
      <c r="Y59" s="115"/>
      <c r="Z59" s="117"/>
      <c r="AA59" s="117"/>
      <c r="AB59" s="117"/>
      <c r="AC59" s="119"/>
      <c r="AD59" s="117"/>
      <c r="AE59" s="117"/>
      <c r="AF59" s="119"/>
    </row>
    <row r="60" spans="2:32" ht="12.75">
      <c r="B60" s="121">
        <v>70</v>
      </c>
      <c r="C60" s="127"/>
      <c r="D60" s="128"/>
      <c r="E60" s="129"/>
      <c r="F60" s="129"/>
      <c r="G60" s="129"/>
      <c r="H60" s="129"/>
      <c r="I60" s="130"/>
      <c r="J60" s="150"/>
      <c r="K60" s="129"/>
      <c r="L60" s="129"/>
      <c r="M60" s="151"/>
      <c r="N60" s="128"/>
      <c r="O60" s="131"/>
      <c r="P60" s="130"/>
      <c r="Q60" s="130"/>
      <c r="R60" s="146"/>
      <c r="S60" s="130"/>
      <c r="T60" s="130"/>
      <c r="U60" s="147"/>
      <c r="V60" s="144"/>
      <c r="W60" s="128"/>
      <c r="X60" s="132"/>
      <c r="Y60" s="115"/>
      <c r="Z60" s="117"/>
      <c r="AA60" s="117"/>
      <c r="AB60" s="117"/>
      <c r="AC60" s="119"/>
      <c r="AD60" s="117"/>
      <c r="AE60" s="117"/>
      <c r="AF60" s="119"/>
    </row>
    <row r="61" spans="2:32" ht="12.75">
      <c r="B61" s="121">
        <v>75</v>
      </c>
      <c r="C61" s="127"/>
      <c r="D61" s="128"/>
      <c r="E61" s="129"/>
      <c r="F61" s="129"/>
      <c r="G61" s="129"/>
      <c r="H61" s="129"/>
      <c r="I61" s="130"/>
      <c r="J61" s="150"/>
      <c r="K61" s="129"/>
      <c r="L61" s="129"/>
      <c r="M61" s="151"/>
      <c r="N61" s="128"/>
      <c r="O61" s="131"/>
      <c r="P61" s="130"/>
      <c r="Q61" s="130"/>
      <c r="R61" s="146"/>
      <c r="S61" s="130"/>
      <c r="T61" s="130"/>
      <c r="U61" s="147"/>
      <c r="V61" s="144"/>
      <c r="W61" s="128"/>
      <c r="X61" s="132"/>
      <c r="Y61" s="115"/>
      <c r="Z61" s="117"/>
      <c r="AA61" s="117"/>
      <c r="AB61" s="117"/>
      <c r="AC61" s="119"/>
      <c r="AD61" s="117"/>
      <c r="AE61" s="117"/>
      <c r="AF61" s="119"/>
    </row>
    <row r="62" spans="2:32" ht="12.75">
      <c r="B62" s="121">
        <v>80</v>
      </c>
      <c r="C62" s="127"/>
      <c r="D62" s="128"/>
      <c r="E62" s="129"/>
      <c r="F62" s="129"/>
      <c r="G62" s="129"/>
      <c r="H62" s="129"/>
      <c r="I62" s="130"/>
      <c r="J62" s="150"/>
      <c r="K62" s="129"/>
      <c r="L62" s="129"/>
      <c r="M62" s="151"/>
      <c r="N62" s="128"/>
      <c r="O62" s="131"/>
      <c r="P62" s="130"/>
      <c r="Q62" s="130"/>
      <c r="R62" s="146"/>
      <c r="S62" s="130"/>
      <c r="T62" s="130"/>
      <c r="U62" s="147"/>
      <c r="V62" s="144"/>
      <c r="W62" s="128"/>
      <c r="X62" s="132"/>
      <c r="Y62" s="115"/>
      <c r="Z62" s="117"/>
      <c r="AA62" s="117"/>
      <c r="AB62" s="117"/>
      <c r="AC62" s="119"/>
      <c r="AD62" s="117"/>
      <c r="AE62" s="117"/>
      <c r="AF62" s="119"/>
    </row>
    <row r="63" spans="2:32" ht="12.75">
      <c r="B63" s="121">
        <v>85</v>
      </c>
      <c r="C63" s="127"/>
      <c r="D63" s="128"/>
      <c r="E63" s="129"/>
      <c r="F63" s="129"/>
      <c r="G63" s="129"/>
      <c r="H63" s="129"/>
      <c r="I63" s="130"/>
      <c r="J63" s="150"/>
      <c r="K63" s="129"/>
      <c r="L63" s="129"/>
      <c r="M63" s="151"/>
      <c r="N63" s="128"/>
      <c r="O63" s="131"/>
      <c r="P63" s="130"/>
      <c r="Q63" s="130"/>
      <c r="R63" s="146"/>
      <c r="S63" s="130"/>
      <c r="T63" s="130"/>
      <c r="U63" s="147"/>
      <c r="V63" s="144"/>
      <c r="W63" s="128"/>
      <c r="X63" s="132"/>
      <c r="Y63" s="115"/>
      <c r="Z63" s="117"/>
      <c r="AA63" s="117"/>
      <c r="AB63" s="117"/>
      <c r="AC63" s="119"/>
      <c r="AD63" s="117"/>
      <c r="AE63" s="117"/>
      <c r="AF63" s="119"/>
    </row>
    <row r="64" spans="2:32" ht="12.75">
      <c r="B64" s="121">
        <v>90</v>
      </c>
      <c r="C64" s="127"/>
      <c r="D64" s="128"/>
      <c r="E64" s="129"/>
      <c r="F64" s="129"/>
      <c r="G64" s="129"/>
      <c r="H64" s="129"/>
      <c r="I64" s="130"/>
      <c r="J64" s="150"/>
      <c r="K64" s="129"/>
      <c r="L64" s="129"/>
      <c r="M64" s="151"/>
      <c r="N64" s="128"/>
      <c r="O64" s="131"/>
      <c r="P64" s="130"/>
      <c r="Q64" s="130"/>
      <c r="R64" s="146"/>
      <c r="S64" s="130"/>
      <c r="T64" s="130"/>
      <c r="U64" s="147"/>
      <c r="V64" s="144"/>
      <c r="W64" s="128"/>
      <c r="X64" s="132"/>
      <c r="Y64" s="115"/>
      <c r="Z64" s="117"/>
      <c r="AA64" s="117"/>
      <c r="AB64" s="117"/>
      <c r="AC64" s="119"/>
      <c r="AD64" s="117"/>
      <c r="AE64" s="117"/>
      <c r="AF64" s="119"/>
    </row>
    <row r="65" spans="2:32" ht="12.75">
      <c r="B65" s="121">
        <v>95</v>
      </c>
      <c r="C65" s="127"/>
      <c r="D65" s="128"/>
      <c r="E65" s="129"/>
      <c r="F65" s="129"/>
      <c r="G65" s="129"/>
      <c r="H65" s="129"/>
      <c r="I65" s="130"/>
      <c r="J65" s="150"/>
      <c r="K65" s="129"/>
      <c r="L65" s="129"/>
      <c r="M65" s="151"/>
      <c r="N65" s="128"/>
      <c r="O65" s="131"/>
      <c r="P65" s="130"/>
      <c r="Q65" s="130"/>
      <c r="R65" s="146"/>
      <c r="S65" s="130"/>
      <c r="T65" s="130"/>
      <c r="U65" s="147"/>
      <c r="V65" s="144"/>
      <c r="W65" s="128"/>
      <c r="X65" s="132"/>
      <c r="Y65" s="115"/>
      <c r="Z65" s="117"/>
      <c r="AA65" s="117"/>
      <c r="AB65" s="117"/>
      <c r="AC65" s="119"/>
      <c r="AD65" s="117"/>
      <c r="AE65" s="117"/>
      <c r="AF65" s="119"/>
    </row>
    <row r="66" spans="2:32" ht="12.75">
      <c r="B66" s="121">
        <v>100</v>
      </c>
      <c r="C66" s="127"/>
      <c r="D66" s="128"/>
      <c r="E66" s="129"/>
      <c r="F66" s="129"/>
      <c r="G66" s="129"/>
      <c r="H66" s="129"/>
      <c r="I66" s="130"/>
      <c r="J66" s="150"/>
      <c r="K66" s="129"/>
      <c r="L66" s="129"/>
      <c r="M66" s="151"/>
      <c r="N66" s="128"/>
      <c r="O66" s="131"/>
      <c r="P66" s="130"/>
      <c r="Q66" s="130"/>
      <c r="R66" s="146"/>
      <c r="S66" s="130"/>
      <c r="T66" s="130"/>
      <c r="U66" s="147"/>
      <c r="V66" s="144"/>
      <c r="W66" s="128"/>
      <c r="X66" s="132"/>
      <c r="Y66" s="100"/>
      <c r="Z66" s="117"/>
      <c r="AA66" s="117"/>
      <c r="AB66" s="117"/>
      <c r="AC66" s="119"/>
      <c r="AD66" s="117"/>
      <c r="AE66" s="117"/>
      <c r="AF66" s="119"/>
    </row>
    <row r="67" spans="2:32" ht="12.75">
      <c r="B67" s="121">
        <v>105</v>
      </c>
      <c r="C67" s="127"/>
      <c r="D67" s="128"/>
      <c r="E67" s="129"/>
      <c r="F67" s="129"/>
      <c r="G67" s="129"/>
      <c r="H67" s="129"/>
      <c r="I67" s="130"/>
      <c r="J67" s="150"/>
      <c r="K67" s="129"/>
      <c r="L67" s="129"/>
      <c r="M67" s="151"/>
      <c r="N67" s="128"/>
      <c r="O67" s="131"/>
      <c r="P67" s="130"/>
      <c r="Q67" s="130"/>
      <c r="R67" s="146"/>
      <c r="S67" s="130"/>
      <c r="T67" s="130"/>
      <c r="U67" s="147"/>
      <c r="V67" s="144"/>
      <c r="W67" s="128"/>
      <c r="X67" s="132"/>
      <c r="Y67" s="100"/>
      <c r="Z67" s="117"/>
      <c r="AA67" s="117"/>
      <c r="AB67" s="117"/>
      <c r="AC67" s="119"/>
      <c r="AD67" s="117"/>
      <c r="AE67" s="117"/>
      <c r="AF67" s="119"/>
    </row>
    <row r="68" spans="2:32" ht="12.75">
      <c r="B68" s="121">
        <v>110</v>
      </c>
      <c r="C68" s="127"/>
      <c r="D68" s="128"/>
      <c r="E68" s="129"/>
      <c r="F68" s="129"/>
      <c r="G68" s="129"/>
      <c r="H68" s="129"/>
      <c r="I68" s="130"/>
      <c r="J68" s="150"/>
      <c r="K68" s="129"/>
      <c r="L68" s="129"/>
      <c r="M68" s="151"/>
      <c r="N68" s="128"/>
      <c r="O68" s="131"/>
      <c r="P68" s="130"/>
      <c r="Q68" s="130"/>
      <c r="R68" s="146"/>
      <c r="S68" s="130"/>
      <c r="T68" s="130"/>
      <c r="U68" s="147"/>
      <c r="V68" s="144"/>
      <c r="W68" s="128"/>
      <c r="X68" s="132"/>
      <c r="Y68" s="100"/>
      <c r="Z68" s="117"/>
      <c r="AA68" s="117"/>
      <c r="AB68" s="117"/>
      <c r="AC68" s="119"/>
      <c r="AD68" s="117"/>
      <c r="AE68" s="117"/>
      <c r="AF68" s="119"/>
    </row>
    <row r="69" spans="2:32" ht="12.75">
      <c r="B69" s="121">
        <v>115</v>
      </c>
      <c r="C69" s="127"/>
      <c r="D69" s="128"/>
      <c r="E69" s="129"/>
      <c r="F69" s="129"/>
      <c r="G69" s="129"/>
      <c r="H69" s="129"/>
      <c r="I69" s="130"/>
      <c r="J69" s="150"/>
      <c r="K69" s="129"/>
      <c r="L69" s="129"/>
      <c r="M69" s="151"/>
      <c r="N69" s="128"/>
      <c r="O69" s="131"/>
      <c r="P69" s="130"/>
      <c r="Q69" s="130"/>
      <c r="R69" s="146"/>
      <c r="S69" s="130"/>
      <c r="T69" s="130"/>
      <c r="U69" s="147"/>
      <c r="V69" s="144"/>
      <c r="W69" s="128"/>
      <c r="X69" s="132"/>
      <c r="Y69" s="100"/>
      <c r="Z69" s="117"/>
      <c r="AA69" s="117"/>
      <c r="AB69" s="117"/>
      <c r="AC69" s="119"/>
      <c r="AD69" s="117"/>
      <c r="AE69" s="117"/>
      <c r="AF69" s="119"/>
    </row>
    <row r="70" spans="2:32" ht="12.75">
      <c r="B70" s="121">
        <v>120</v>
      </c>
      <c r="C70" s="127"/>
      <c r="D70" s="128"/>
      <c r="E70" s="129"/>
      <c r="F70" s="129"/>
      <c r="G70" s="129"/>
      <c r="H70" s="129"/>
      <c r="I70" s="130"/>
      <c r="J70" s="150"/>
      <c r="K70" s="129"/>
      <c r="L70" s="129"/>
      <c r="M70" s="151"/>
      <c r="N70" s="128"/>
      <c r="O70" s="131"/>
      <c r="P70" s="130"/>
      <c r="Q70" s="130"/>
      <c r="R70" s="146"/>
      <c r="S70" s="130"/>
      <c r="T70" s="130"/>
      <c r="U70" s="147"/>
      <c r="V70" s="144"/>
      <c r="W70" s="128"/>
      <c r="X70" s="132"/>
      <c r="Y70" s="100"/>
      <c r="Z70" s="117"/>
      <c r="AA70" s="117"/>
      <c r="AB70" s="117"/>
      <c r="AC70" s="119"/>
      <c r="AD70" s="117"/>
      <c r="AE70" s="117"/>
      <c r="AF70" s="119"/>
    </row>
    <row r="71" spans="2:32" ht="12.75">
      <c r="B71" s="121">
        <v>125</v>
      </c>
      <c r="C71" s="127"/>
      <c r="D71" s="128"/>
      <c r="E71" s="129"/>
      <c r="F71" s="129"/>
      <c r="G71" s="129"/>
      <c r="H71" s="129"/>
      <c r="I71" s="130"/>
      <c r="J71" s="150"/>
      <c r="K71" s="129"/>
      <c r="L71" s="129"/>
      <c r="M71" s="151"/>
      <c r="N71" s="128"/>
      <c r="O71" s="131"/>
      <c r="P71" s="130"/>
      <c r="Q71" s="130"/>
      <c r="R71" s="146"/>
      <c r="S71" s="130"/>
      <c r="T71" s="130"/>
      <c r="U71" s="147"/>
      <c r="V71" s="144"/>
      <c r="W71" s="128"/>
      <c r="X71" s="132"/>
      <c r="Y71" s="100"/>
      <c r="Z71" s="117"/>
      <c r="AA71" s="117"/>
      <c r="AB71" s="117"/>
      <c r="AC71" s="119"/>
      <c r="AD71" s="117"/>
      <c r="AE71" s="117"/>
      <c r="AF71" s="119"/>
    </row>
    <row r="72" spans="2:32" ht="12.75">
      <c r="B72" s="121">
        <v>130</v>
      </c>
      <c r="C72" s="127"/>
      <c r="D72" s="128"/>
      <c r="E72" s="129"/>
      <c r="F72" s="129"/>
      <c r="G72" s="129"/>
      <c r="H72" s="129"/>
      <c r="I72" s="130"/>
      <c r="J72" s="150"/>
      <c r="K72" s="129"/>
      <c r="L72" s="129"/>
      <c r="M72" s="151"/>
      <c r="N72" s="128"/>
      <c r="O72" s="131"/>
      <c r="P72" s="130"/>
      <c r="Q72" s="130"/>
      <c r="R72" s="146"/>
      <c r="S72" s="130"/>
      <c r="T72" s="130"/>
      <c r="U72" s="147"/>
      <c r="V72" s="144"/>
      <c r="W72" s="128"/>
      <c r="X72" s="132"/>
      <c r="Y72" s="100"/>
      <c r="Z72" s="117"/>
      <c r="AA72" s="117"/>
      <c r="AB72" s="117"/>
      <c r="AC72" s="119"/>
      <c r="AD72" s="117"/>
      <c r="AE72" s="117"/>
      <c r="AF72" s="119"/>
    </row>
    <row r="73" spans="2:32" ht="12.75">
      <c r="B73" s="121">
        <v>135</v>
      </c>
      <c r="C73" s="127"/>
      <c r="D73" s="128"/>
      <c r="E73" s="129"/>
      <c r="F73" s="129"/>
      <c r="G73" s="129"/>
      <c r="H73" s="129"/>
      <c r="I73" s="130"/>
      <c r="J73" s="150"/>
      <c r="K73" s="129"/>
      <c r="L73" s="129"/>
      <c r="M73" s="151"/>
      <c r="N73" s="128"/>
      <c r="O73" s="131"/>
      <c r="P73" s="130"/>
      <c r="Q73" s="130"/>
      <c r="R73" s="146"/>
      <c r="S73" s="130"/>
      <c r="T73" s="130"/>
      <c r="U73" s="147"/>
      <c r="V73" s="144"/>
      <c r="W73" s="128"/>
      <c r="X73" s="132"/>
      <c r="Y73" s="100"/>
      <c r="Z73" s="117"/>
      <c r="AA73" s="117"/>
      <c r="AB73" s="117"/>
      <c r="AC73" s="119"/>
      <c r="AD73" s="117"/>
      <c r="AE73" s="117"/>
      <c r="AF73" s="119"/>
    </row>
    <row r="74" spans="2:32" ht="12.75">
      <c r="B74" s="121">
        <v>140</v>
      </c>
      <c r="C74" s="127"/>
      <c r="D74" s="128"/>
      <c r="E74" s="129"/>
      <c r="F74" s="129"/>
      <c r="G74" s="129"/>
      <c r="H74" s="129"/>
      <c r="I74" s="130"/>
      <c r="J74" s="150"/>
      <c r="K74" s="129"/>
      <c r="L74" s="129"/>
      <c r="M74" s="151"/>
      <c r="N74" s="128"/>
      <c r="O74" s="131"/>
      <c r="P74" s="130"/>
      <c r="Q74" s="130"/>
      <c r="R74" s="146"/>
      <c r="S74" s="130"/>
      <c r="T74" s="130"/>
      <c r="U74" s="147"/>
      <c r="V74" s="144"/>
      <c r="W74" s="128"/>
      <c r="X74" s="132"/>
      <c r="Y74" s="100"/>
      <c r="Z74" s="117"/>
      <c r="AA74" s="117"/>
      <c r="AB74" s="117"/>
      <c r="AC74" s="119"/>
      <c r="AD74" s="117"/>
      <c r="AE74" s="117"/>
      <c r="AF74" s="119"/>
    </row>
    <row r="75" spans="2:32" ht="12.75">
      <c r="B75" s="121">
        <v>145</v>
      </c>
      <c r="C75" s="127"/>
      <c r="D75" s="128"/>
      <c r="E75" s="129"/>
      <c r="F75" s="129"/>
      <c r="G75" s="129"/>
      <c r="H75" s="129"/>
      <c r="I75" s="130"/>
      <c r="J75" s="150"/>
      <c r="K75" s="129"/>
      <c r="L75" s="129"/>
      <c r="M75" s="151"/>
      <c r="N75" s="128"/>
      <c r="O75" s="131"/>
      <c r="P75" s="130"/>
      <c r="Q75" s="130"/>
      <c r="R75" s="146"/>
      <c r="S75" s="130"/>
      <c r="T75" s="130"/>
      <c r="U75" s="147"/>
      <c r="V75" s="144"/>
      <c r="W75" s="128"/>
      <c r="X75" s="132"/>
      <c r="Y75" s="100"/>
      <c r="Z75" s="117"/>
      <c r="AA75" s="117"/>
      <c r="AB75" s="117"/>
      <c r="AC75" s="119"/>
      <c r="AD75" s="117"/>
      <c r="AE75" s="117"/>
      <c r="AF75" s="119"/>
    </row>
    <row r="76" spans="2:32" ht="12.75">
      <c r="B76" s="121">
        <v>150</v>
      </c>
      <c r="C76" s="127"/>
      <c r="D76" s="128"/>
      <c r="E76" s="129"/>
      <c r="F76" s="129"/>
      <c r="G76" s="129"/>
      <c r="H76" s="129"/>
      <c r="I76" s="130"/>
      <c r="J76" s="150"/>
      <c r="K76" s="129"/>
      <c r="L76" s="129"/>
      <c r="M76" s="151"/>
      <c r="N76" s="128"/>
      <c r="O76" s="131"/>
      <c r="P76" s="130"/>
      <c r="Q76" s="130"/>
      <c r="R76" s="146"/>
      <c r="S76" s="130"/>
      <c r="T76" s="130"/>
      <c r="U76" s="147"/>
      <c r="V76" s="144"/>
      <c r="W76" s="128"/>
      <c r="X76" s="132"/>
      <c r="Y76" s="100"/>
      <c r="Z76" s="117"/>
      <c r="AA76" s="117"/>
      <c r="AB76" s="117"/>
      <c r="AC76" s="119"/>
      <c r="AD76" s="117"/>
      <c r="AE76" s="117"/>
      <c r="AF76" s="119"/>
    </row>
    <row r="77" spans="2:32" ht="12.75">
      <c r="B77" s="121">
        <v>155</v>
      </c>
      <c r="C77" s="127"/>
      <c r="D77" s="128"/>
      <c r="E77" s="129"/>
      <c r="F77" s="129"/>
      <c r="G77" s="129"/>
      <c r="H77" s="129"/>
      <c r="I77" s="130"/>
      <c r="J77" s="150"/>
      <c r="K77" s="129"/>
      <c r="L77" s="129"/>
      <c r="M77" s="151"/>
      <c r="N77" s="128"/>
      <c r="O77" s="131"/>
      <c r="P77" s="130"/>
      <c r="Q77" s="130"/>
      <c r="R77" s="146"/>
      <c r="S77" s="130"/>
      <c r="T77" s="130"/>
      <c r="U77" s="147"/>
      <c r="V77" s="144"/>
      <c r="W77" s="128"/>
      <c r="X77" s="132"/>
      <c r="Y77" s="100"/>
      <c r="Z77" s="117"/>
      <c r="AA77" s="117"/>
      <c r="AB77" s="117"/>
      <c r="AC77" s="119"/>
      <c r="AD77" s="117"/>
      <c r="AE77" s="117"/>
      <c r="AF77" s="119"/>
    </row>
    <row r="78" spans="2:32" ht="12.75">
      <c r="B78" s="121">
        <v>160</v>
      </c>
      <c r="C78" s="127"/>
      <c r="D78" s="128"/>
      <c r="E78" s="129"/>
      <c r="F78" s="129"/>
      <c r="G78" s="129"/>
      <c r="H78" s="129"/>
      <c r="I78" s="130"/>
      <c r="J78" s="150"/>
      <c r="K78" s="129"/>
      <c r="L78" s="129"/>
      <c r="M78" s="151"/>
      <c r="N78" s="128"/>
      <c r="O78" s="131"/>
      <c r="P78" s="130"/>
      <c r="Q78" s="130"/>
      <c r="R78" s="146"/>
      <c r="S78" s="130"/>
      <c r="T78" s="130"/>
      <c r="U78" s="147"/>
      <c r="V78" s="144"/>
      <c r="W78" s="128"/>
      <c r="X78" s="132"/>
      <c r="Y78" s="100"/>
      <c r="Z78" s="117"/>
      <c r="AA78" s="117"/>
      <c r="AB78" s="117"/>
      <c r="AC78" s="119"/>
      <c r="AD78" s="117"/>
      <c r="AE78" s="117"/>
      <c r="AF78" s="119"/>
    </row>
    <row r="79" spans="2:32" ht="12.75">
      <c r="B79" s="121">
        <v>165</v>
      </c>
      <c r="C79" s="127"/>
      <c r="D79" s="128"/>
      <c r="E79" s="129"/>
      <c r="F79" s="129"/>
      <c r="G79" s="129"/>
      <c r="H79" s="129"/>
      <c r="I79" s="130"/>
      <c r="J79" s="150"/>
      <c r="K79" s="129"/>
      <c r="L79" s="129"/>
      <c r="M79" s="151"/>
      <c r="N79" s="128"/>
      <c r="O79" s="131"/>
      <c r="P79" s="130"/>
      <c r="Q79" s="130"/>
      <c r="R79" s="146"/>
      <c r="S79" s="130"/>
      <c r="T79" s="130"/>
      <c r="U79" s="147"/>
      <c r="V79" s="144"/>
      <c r="W79" s="128"/>
      <c r="X79" s="132"/>
      <c r="Y79" s="100"/>
      <c r="Z79" s="117"/>
      <c r="AA79" s="117"/>
      <c r="AB79" s="117"/>
      <c r="AC79" s="119"/>
      <c r="AD79" s="117"/>
      <c r="AE79" s="117"/>
      <c r="AF79" s="119"/>
    </row>
    <row r="80" spans="2:32" ht="12.75">
      <c r="B80" s="121">
        <v>170</v>
      </c>
      <c r="C80" s="127"/>
      <c r="D80" s="128"/>
      <c r="E80" s="129"/>
      <c r="F80" s="129"/>
      <c r="G80" s="129"/>
      <c r="H80" s="129"/>
      <c r="I80" s="130"/>
      <c r="J80" s="150"/>
      <c r="K80" s="129"/>
      <c r="L80" s="129"/>
      <c r="M80" s="151"/>
      <c r="N80" s="128"/>
      <c r="O80" s="131"/>
      <c r="P80" s="130"/>
      <c r="Q80" s="130"/>
      <c r="R80" s="146"/>
      <c r="S80" s="130"/>
      <c r="T80" s="130"/>
      <c r="U80" s="147"/>
      <c r="V80" s="144"/>
      <c r="W80" s="128"/>
      <c r="X80" s="132"/>
      <c r="Y80" s="100"/>
      <c r="Z80" s="117"/>
      <c r="AA80" s="117"/>
      <c r="AB80" s="117"/>
      <c r="AC80" s="119"/>
      <c r="AD80" s="117"/>
      <c r="AE80" s="117"/>
      <c r="AF80" s="119"/>
    </row>
    <row r="81" spans="2:32" ht="12.75">
      <c r="B81" s="121">
        <v>175</v>
      </c>
      <c r="C81" s="127"/>
      <c r="D81" s="128"/>
      <c r="E81" s="129"/>
      <c r="F81" s="129"/>
      <c r="G81" s="129"/>
      <c r="H81" s="129"/>
      <c r="I81" s="130"/>
      <c r="J81" s="150"/>
      <c r="K81" s="129"/>
      <c r="L81" s="129"/>
      <c r="M81" s="151"/>
      <c r="N81" s="128"/>
      <c r="O81" s="131"/>
      <c r="P81" s="130"/>
      <c r="Q81" s="130"/>
      <c r="R81" s="146"/>
      <c r="S81" s="130"/>
      <c r="T81" s="130"/>
      <c r="U81" s="147"/>
      <c r="V81" s="144"/>
      <c r="W81" s="128"/>
      <c r="X81" s="132"/>
      <c r="Y81" s="100"/>
      <c r="Z81" s="117"/>
      <c r="AA81" s="117"/>
      <c r="AB81" s="117"/>
      <c r="AC81" s="119"/>
      <c r="AD81" s="117"/>
      <c r="AE81" s="117"/>
      <c r="AF81" s="119"/>
    </row>
    <row r="82" spans="2:32" ht="12.75">
      <c r="B82" s="122">
        <v>180</v>
      </c>
      <c r="C82" s="133"/>
      <c r="D82" s="134"/>
      <c r="E82" s="135"/>
      <c r="F82" s="135"/>
      <c r="G82" s="135"/>
      <c r="H82" s="135"/>
      <c r="I82" s="136"/>
      <c r="J82" s="152"/>
      <c r="K82" s="135"/>
      <c r="L82" s="135"/>
      <c r="M82" s="153"/>
      <c r="N82" s="134"/>
      <c r="O82" s="137"/>
      <c r="P82" s="136"/>
      <c r="Q82" s="136"/>
      <c r="R82" s="148"/>
      <c r="S82" s="136"/>
      <c r="T82" s="136"/>
      <c r="U82" s="149"/>
      <c r="V82" s="145"/>
      <c r="W82" s="134"/>
      <c r="X82" s="138"/>
      <c r="Y82" s="100"/>
      <c r="Z82" s="117"/>
      <c r="AA82" s="117"/>
      <c r="AB82" s="117"/>
      <c r="AC82" s="119"/>
      <c r="AD82" s="117"/>
      <c r="AE82" s="117"/>
      <c r="AF82" s="119"/>
    </row>
    <row r="83" spans="2:32" ht="12.75">
      <c r="B83" s="107"/>
      <c r="C83" s="109"/>
      <c r="D83" s="110"/>
      <c r="E83" s="110"/>
      <c r="F83" s="110"/>
      <c r="G83" s="110"/>
      <c r="H83" s="101"/>
      <c r="I83" s="101"/>
      <c r="J83" s="101"/>
      <c r="K83" s="111"/>
      <c r="L83" s="111"/>
      <c r="M83" s="111"/>
      <c r="N83" s="110"/>
      <c r="O83" s="112"/>
      <c r="P83" s="111"/>
      <c r="Q83" s="111"/>
      <c r="R83" s="111"/>
      <c r="S83" s="111"/>
      <c r="T83" s="111"/>
      <c r="U83" s="111"/>
      <c r="V83" s="116"/>
      <c r="Z83" s="117"/>
      <c r="AA83" s="117"/>
      <c r="AB83" s="117"/>
      <c r="AC83" s="119"/>
      <c r="AD83" s="117"/>
      <c r="AE83" s="117"/>
      <c r="AF83" s="119"/>
    </row>
    <row r="84" spans="2:32" ht="12.75">
      <c r="B84" s="107"/>
      <c r="C84" s="109"/>
      <c r="D84" s="110"/>
      <c r="E84" s="110"/>
      <c r="F84" s="110"/>
      <c r="G84" s="110"/>
      <c r="H84" s="101"/>
      <c r="I84" s="101"/>
      <c r="J84" s="101"/>
      <c r="K84" s="111"/>
      <c r="L84" s="111"/>
      <c r="M84" s="111"/>
      <c r="N84" s="110"/>
      <c r="O84" s="112"/>
      <c r="P84" s="111"/>
      <c r="Q84" s="111"/>
      <c r="R84" s="111"/>
      <c r="S84" s="111"/>
      <c r="T84" s="111"/>
      <c r="U84" s="111"/>
      <c r="V84" s="116"/>
      <c r="Z84" s="117"/>
      <c r="AA84" s="117"/>
      <c r="AB84" s="117"/>
      <c r="AC84" s="119"/>
      <c r="AD84" s="117"/>
      <c r="AE84" s="117"/>
      <c r="AF84" s="119"/>
    </row>
    <row r="85" spans="2:32" ht="12.75">
      <c r="B85" s="107"/>
      <c r="C85" s="109"/>
      <c r="D85" s="110"/>
      <c r="E85" s="110"/>
      <c r="F85" s="110"/>
      <c r="G85" s="110"/>
      <c r="H85" s="101"/>
      <c r="I85" s="101"/>
      <c r="J85" s="101"/>
      <c r="K85" s="111"/>
      <c r="L85" s="111"/>
      <c r="M85" s="111"/>
      <c r="N85" s="110"/>
      <c r="O85" s="112"/>
      <c r="P85" s="111"/>
      <c r="Q85" s="111"/>
      <c r="R85" s="111"/>
      <c r="S85" s="111"/>
      <c r="T85" s="111"/>
      <c r="U85" s="111"/>
      <c r="V85" s="116"/>
      <c r="Z85" s="117"/>
      <c r="AA85" s="117"/>
      <c r="AB85" s="117"/>
      <c r="AC85" s="119"/>
      <c r="AD85" s="117"/>
      <c r="AE85" s="117"/>
      <c r="AF85" s="119"/>
    </row>
    <row r="86" spans="2:32" ht="12.75">
      <c r="B86" s="107"/>
      <c r="C86" s="109"/>
      <c r="D86" s="110"/>
      <c r="E86" s="110"/>
      <c r="F86" s="110"/>
      <c r="G86" s="110"/>
      <c r="H86" s="101"/>
      <c r="I86" s="101"/>
      <c r="J86" s="101"/>
      <c r="K86" s="111"/>
      <c r="L86" s="111"/>
      <c r="M86" s="111"/>
      <c r="N86" s="110"/>
      <c r="O86" s="112"/>
      <c r="P86" s="111"/>
      <c r="Q86" s="111"/>
      <c r="R86" s="111"/>
      <c r="S86" s="111"/>
      <c r="T86" s="111"/>
      <c r="U86" s="111"/>
      <c r="V86" s="116"/>
      <c r="X86" s="100"/>
      <c r="Y86" s="101"/>
      <c r="Z86" s="117"/>
      <c r="AA86" s="117"/>
      <c r="AB86" s="117"/>
      <c r="AC86" s="119"/>
      <c r="AD86" s="117"/>
      <c r="AE86" s="117"/>
      <c r="AF86" s="119"/>
    </row>
    <row r="87" spans="2:32" ht="12.75">
      <c r="B87" s="107"/>
      <c r="C87" s="109"/>
      <c r="D87" s="110"/>
      <c r="E87" s="110"/>
      <c r="F87" s="110"/>
      <c r="G87" s="110"/>
      <c r="H87" s="101"/>
      <c r="I87" s="101"/>
      <c r="J87" s="101"/>
      <c r="K87" s="111"/>
      <c r="L87" s="111"/>
      <c r="M87" s="111"/>
      <c r="N87" s="110"/>
      <c r="O87" s="112"/>
      <c r="P87" s="111"/>
      <c r="Q87" s="111"/>
      <c r="R87" s="111"/>
      <c r="S87" s="111"/>
      <c r="T87" s="111"/>
      <c r="U87" s="111"/>
      <c r="V87" s="116"/>
      <c r="X87" s="100"/>
      <c r="Y87" s="101"/>
      <c r="Z87" s="117"/>
      <c r="AA87" s="117"/>
      <c r="AB87" s="117"/>
      <c r="AC87" s="119"/>
      <c r="AD87" s="117"/>
      <c r="AE87" s="117"/>
      <c r="AF87" s="119"/>
    </row>
    <row r="88" spans="2:32" ht="12.75">
      <c r="B88" s="107"/>
      <c r="C88" s="109"/>
      <c r="D88" s="110"/>
      <c r="E88" s="110"/>
      <c r="F88" s="110"/>
      <c r="G88" s="110"/>
      <c r="H88" s="101"/>
      <c r="I88" s="101"/>
      <c r="J88" s="101"/>
      <c r="K88" s="111"/>
      <c r="L88" s="111"/>
      <c r="M88" s="111"/>
      <c r="N88" s="110"/>
      <c r="O88" s="112"/>
      <c r="P88" s="111"/>
      <c r="Q88" s="111"/>
      <c r="R88" s="111"/>
      <c r="S88" s="111"/>
      <c r="T88" s="111"/>
      <c r="U88" s="111"/>
      <c r="V88" s="116"/>
      <c r="X88" s="100"/>
      <c r="Y88" s="101"/>
      <c r="Z88" s="117"/>
      <c r="AA88" s="117"/>
      <c r="AB88" s="117"/>
      <c r="AC88" s="119"/>
      <c r="AD88" s="117"/>
      <c r="AE88" s="117"/>
      <c r="AF88" s="119"/>
    </row>
    <row r="89" spans="2:32" ht="12.75">
      <c r="B89" s="107"/>
      <c r="C89" s="109"/>
      <c r="D89" s="110"/>
      <c r="E89" s="110"/>
      <c r="F89" s="110"/>
      <c r="G89" s="110"/>
      <c r="H89" s="101"/>
      <c r="I89" s="101"/>
      <c r="J89" s="101"/>
      <c r="K89" s="111"/>
      <c r="L89" s="111"/>
      <c r="M89" s="111"/>
      <c r="N89" s="110"/>
      <c r="O89" s="112"/>
      <c r="P89" s="111"/>
      <c r="Q89" s="111"/>
      <c r="R89" s="111"/>
      <c r="S89" s="111"/>
      <c r="T89" s="111"/>
      <c r="U89" s="111"/>
      <c r="V89" s="116"/>
      <c r="X89" s="100"/>
      <c r="Y89" s="101"/>
      <c r="Z89" s="117"/>
      <c r="AA89" s="117"/>
      <c r="AB89" s="117"/>
      <c r="AC89" s="119"/>
      <c r="AD89" s="117"/>
      <c r="AE89" s="117"/>
      <c r="AF89" s="119"/>
    </row>
    <row r="90" spans="2:32" ht="12.75">
      <c r="B90" s="107"/>
      <c r="C90" s="109"/>
      <c r="D90" s="110"/>
      <c r="E90" s="110"/>
      <c r="F90" s="110"/>
      <c r="G90" s="110"/>
      <c r="H90" s="101"/>
      <c r="I90" s="101"/>
      <c r="J90" s="101"/>
      <c r="K90" s="111"/>
      <c r="L90" s="111"/>
      <c r="M90" s="111"/>
      <c r="N90" s="110"/>
      <c r="O90" s="112"/>
      <c r="P90" s="111"/>
      <c r="Q90" s="111"/>
      <c r="R90" s="111"/>
      <c r="S90" s="111"/>
      <c r="T90" s="111"/>
      <c r="U90" s="111"/>
      <c r="V90" s="116"/>
      <c r="X90" s="100"/>
      <c r="Y90" s="101"/>
      <c r="Z90" s="117"/>
      <c r="AA90" s="117"/>
      <c r="AB90" s="117"/>
      <c r="AC90" s="119"/>
      <c r="AD90" s="117"/>
      <c r="AE90" s="117"/>
      <c r="AF90" s="119"/>
    </row>
    <row r="91" spans="2:32" ht="12.75">
      <c r="B91" s="107"/>
      <c r="C91" s="109"/>
      <c r="D91" s="110"/>
      <c r="E91" s="110"/>
      <c r="F91" s="110"/>
      <c r="G91" s="110"/>
      <c r="H91" s="101"/>
      <c r="I91" s="101"/>
      <c r="J91" s="101"/>
      <c r="K91" s="111"/>
      <c r="L91" s="111"/>
      <c r="M91" s="111"/>
      <c r="N91" s="110"/>
      <c r="O91" s="112"/>
      <c r="P91" s="111"/>
      <c r="Q91" s="111"/>
      <c r="R91" s="111"/>
      <c r="S91" s="111"/>
      <c r="T91" s="111"/>
      <c r="U91" s="111"/>
      <c r="V91" s="116"/>
      <c r="X91" s="100"/>
      <c r="Y91" s="101"/>
      <c r="Z91" s="117"/>
      <c r="AA91" s="117"/>
      <c r="AB91" s="117"/>
      <c r="AC91" s="119"/>
      <c r="AD91" s="117"/>
      <c r="AE91" s="117"/>
      <c r="AF91" s="119"/>
    </row>
    <row r="92" spans="2:32" ht="12.75">
      <c r="B92" s="107"/>
      <c r="C92" s="109"/>
      <c r="D92" s="110"/>
      <c r="E92" s="110"/>
      <c r="F92" s="110"/>
      <c r="G92" s="110"/>
      <c r="H92" s="101"/>
      <c r="I92" s="101"/>
      <c r="J92" s="101"/>
      <c r="K92" s="111"/>
      <c r="L92" s="111"/>
      <c r="M92" s="111"/>
      <c r="N92" s="110"/>
      <c r="O92" s="112"/>
      <c r="P92" s="111"/>
      <c r="Q92" s="111"/>
      <c r="R92" s="111"/>
      <c r="S92" s="111"/>
      <c r="T92" s="111"/>
      <c r="U92" s="111"/>
      <c r="V92" s="116"/>
      <c r="X92" s="100"/>
      <c r="Y92" s="101"/>
      <c r="Z92" s="117"/>
      <c r="AA92" s="117"/>
      <c r="AB92" s="117"/>
      <c r="AC92" s="119"/>
      <c r="AD92" s="117"/>
      <c r="AE92" s="117"/>
      <c r="AF92" s="119"/>
    </row>
    <row r="93" spans="2:32" ht="12.75">
      <c r="B93" s="107"/>
      <c r="C93" s="109"/>
      <c r="D93" s="110"/>
      <c r="E93" s="110"/>
      <c r="F93" s="110"/>
      <c r="G93" s="110"/>
      <c r="H93" s="101"/>
      <c r="I93" s="101"/>
      <c r="J93" s="101"/>
      <c r="K93" s="111"/>
      <c r="L93" s="111"/>
      <c r="M93" s="111"/>
      <c r="N93" s="110"/>
      <c r="O93" s="112"/>
      <c r="P93" s="111"/>
      <c r="Q93" s="111"/>
      <c r="R93" s="111"/>
      <c r="S93" s="111"/>
      <c r="T93" s="111"/>
      <c r="U93" s="111"/>
      <c r="V93" s="116"/>
      <c r="X93" s="100"/>
      <c r="Y93" s="101"/>
      <c r="Z93" s="117"/>
      <c r="AA93" s="117"/>
      <c r="AB93" s="117"/>
      <c r="AC93" s="119"/>
      <c r="AD93" s="117"/>
      <c r="AE93" s="117"/>
      <c r="AF93" s="119"/>
    </row>
    <row r="94" spans="2:32" ht="12.75">
      <c r="B94" s="107"/>
      <c r="C94" s="109"/>
      <c r="D94" s="110"/>
      <c r="E94" s="110"/>
      <c r="F94" s="110"/>
      <c r="G94" s="110"/>
      <c r="H94" s="101"/>
      <c r="I94" s="101"/>
      <c r="J94" s="101"/>
      <c r="K94" s="111"/>
      <c r="L94" s="111"/>
      <c r="M94" s="111"/>
      <c r="N94" s="110"/>
      <c r="O94" s="112"/>
      <c r="P94" s="111"/>
      <c r="Q94" s="111"/>
      <c r="R94" s="111"/>
      <c r="S94" s="111"/>
      <c r="T94" s="111"/>
      <c r="U94" s="111"/>
      <c r="V94" s="116"/>
      <c r="X94" s="100"/>
      <c r="Y94" s="101"/>
      <c r="Z94" s="117"/>
      <c r="AA94" s="117"/>
      <c r="AB94" s="117"/>
      <c r="AC94" s="119"/>
      <c r="AD94" s="117"/>
      <c r="AE94" s="117"/>
      <c r="AF94" s="119"/>
    </row>
    <row r="95" spans="2:32" ht="12.75">
      <c r="B95" s="107"/>
      <c r="C95" s="109"/>
      <c r="D95" s="110"/>
      <c r="E95" s="110"/>
      <c r="F95" s="110"/>
      <c r="G95" s="110"/>
      <c r="H95" s="101"/>
      <c r="I95" s="101"/>
      <c r="J95" s="101"/>
      <c r="K95" s="111"/>
      <c r="L95" s="111"/>
      <c r="M95" s="111"/>
      <c r="N95" s="110"/>
      <c r="O95" s="112"/>
      <c r="P95" s="111"/>
      <c r="Q95" s="111"/>
      <c r="R95" s="111"/>
      <c r="S95" s="111"/>
      <c r="T95" s="111"/>
      <c r="U95" s="111"/>
      <c r="V95" s="116"/>
      <c r="X95" s="100"/>
      <c r="Y95" s="101"/>
      <c r="Z95" s="117"/>
      <c r="AA95" s="117"/>
      <c r="AB95" s="117"/>
      <c r="AC95" s="119"/>
      <c r="AD95" s="117"/>
      <c r="AE95" s="117"/>
      <c r="AF95" s="119"/>
    </row>
    <row r="96" spans="2:32" ht="12.75">
      <c r="B96" s="107"/>
      <c r="C96" s="109"/>
      <c r="D96" s="110"/>
      <c r="E96" s="110"/>
      <c r="F96" s="110"/>
      <c r="G96" s="110"/>
      <c r="H96" s="101"/>
      <c r="I96" s="101"/>
      <c r="J96" s="101"/>
      <c r="K96" s="111"/>
      <c r="L96" s="111"/>
      <c r="M96" s="111"/>
      <c r="N96" s="110"/>
      <c r="O96" s="112"/>
      <c r="P96" s="111"/>
      <c r="Q96" s="111"/>
      <c r="R96" s="111"/>
      <c r="S96" s="111"/>
      <c r="T96" s="111"/>
      <c r="U96" s="111"/>
      <c r="V96" s="116"/>
      <c r="W96" s="101"/>
      <c r="X96" s="101"/>
      <c r="Y96" s="101"/>
      <c r="Z96" s="117"/>
      <c r="AA96" s="117"/>
      <c r="AB96" s="117"/>
      <c r="AC96" s="119"/>
      <c r="AD96" s="117"/>
      <c r="AE96" s="117"/>
      <c r="AF96" s="119"/>
    </row>
    <row r="97" spans="2:32" ht="12.75">
      <c r="B97" s="107"/>
      <c r="C97" s="109"/>
      <c r="D97" s="110"/>
      <c r="E97" s="110"/>
      <c r="F97" s="110"/>
      <c r="G97" s="110"/>
      <c r="H97" s="101"/>
      <c r="I97" s="101"/>
      <c r="J97" s="101"/>
      <c r="K97" s="111"/>
      <c r="L97" s="111"/>
      <c r="M97" s="111"/>
      <c r="N97" s="110"/>
      <c r="O97" s="112"/>
      <c r="P97" s="111"/>
      <c r="Q97" s="111"/>
      <c r="R97" s="111"/>
      <c r="S97" s="111"/>
      <c r="T97" s="111"/>
      <c r="U97" s="111"/>
      <c r="V97" s="116"/>
      <c r="W97" s="101"/>
      <c r="X97" s="101"/>
      <c r="Y97" s="101"/>
      <c r="Z97" s="117"/>
      <c r="AA97" s="117"/>
      <c r="AB97" s="117"/>
      <c r="AC97" s="119"/>
      <c r="AD97" s="117"/>
      <c r="AE97" s="117"/>
      <c r="AF97" s="119"/>
    </row>
    <row r="98" spans="2:32" ht="12.75">
      <c r="B98" s="107"/>
      <c r="C98" s="109"/>
      <c r="D98" s="110"/>
      <c r="E98" s="110"/>
      <c r="F98" s="110"/>
      <c r="G98" s="110"/>
      <c r="H98" s="101"/>
      <c r="I98" s="101"/>
      <c r="J98" s="101"/>
      <c r="K98" s="111"/>
      <c r="L98" s="111"/>
      <c r="M98" s="111"/>
      <c r="N98" s="110"/>
      <c r="O98" s="112"/>
      <c r="P98" s="111"/>
      <c r="Q98" s="111"/>
      <c r="R98" s="111"/>
      <c r="S98" s="111"/>
      <c r="T98" s="111"/>
      <c r="U98" s="111"/>
      <c r="V98" s="116"/>
      <c r="W98" s="101"/>
      <c r="X98" s="101"/>
      <c r="Y98" s="101"/>
      <c r="Z98" s="117"/>
      <c r="AA98" s="117"/>
      <c r="AB98" s="117"/>
      <c r="AC98" s="119"/>
      <c r="AD98" s="117"/>
      <c r="AE98" s="117"/>
      <c r="AF98" s="119"/>
    </row>
    <row r="99" spans="2:32" ht="12.75">
      <c r="B99" s="107"/>
      <c r="C99" s="109"/>
      <c r="D99" s="110"/>
      <c r="E99" s="110"/>
      <c r="F99" s="110"/>
      <c r="G99" s="110"/>
      <c r="H99" s="101"/>
      <c r="I99" s="101"/>
      <c r="J99" s="101"/>
      <c r="K99" s="111"/>
      <c r="L99" s="111"/>
      <c r="M99" s="111"/>
      <c r="N99" s="110"/>
      <c r="O99" s="112"/>
      <c r="P99" s="111"/>
      <c r="Q99" s="111"/>
      <c r="R99" s="111"/>
      <c r="S99" s="111"/>
      <c r="T99" s="111"/>
      <c r="U99" s="111"/>
      <c r="V99" s="116"/>
      <c r="W99" s="101"/>
      <c r="X99" s="101"/>
      <c r="Y99" s="101"/>
      <c r="Z99" s="117"/>
      <c r="AA99" s="117"/>
      <c r="AB99" s="117"/>
      <c r="AC99" s="119"/>
      <c r="AD99" s="117"/>
      <c r="AE99" s="117"/>
      <c r="AF99" s="119"/>
    </row>
    <row r="100" spans="2:32" ht="12.75">
      <c r="B100" s="107"/>
      <c r="C100" s="109"/>
      <c r="D100" s="110"/>
      <c r="E100" s="110"/>
      <c r="F100" s="110"/>
      <c r="G100" s="110"/>
      <c r="H100" s="101"/>
      <c r="I100" s="101"/>
      <c r="J100" s="101"/>
      <c r="K100" s="111"/>
      <c r="L100" s="111"/>
      <c r="M100" s="111"/>
      <c r="N100" s="110"/>
      <c r="O100" s="112"/>
      <c r="P100" s="111"/>
      <c r="Q100" s="111"/>
      <c r="R100" s="111"/>
      <c r="S100" s="111"/>
      <c r="T100" s="111"/>
      <c r="U100" s="111"/>
      <c r="V100" s="116"/>
      <c r="W100" s="101"/>
      <c r="X100" s="101"/>
      <c r="Y100" s="101"/>
      <c r="Z100" s="117"/>
      <c r="AA100" s="117"/>
      <c r="AB100" s="117"/>
      <c r="AC100" s="119"/>
      <c r="AD100" s="117"/>
      <c r="AE100" s="117"/>
      <c r="AF100" s="119"/>
    </row>
    <row r="101" spans="2:32" ht="12.75">
      <c r="B101" s="107"/>
      <c r="C101" s="109"/>
      <c r="D101" s="110"/>
      <c r="E101" s="110"/>
      <c r="F101" s="110"/>
      <c r="G101" s="110"/>
      <c r="H101" s="101"/>
      <c r="I101" s="101"/>
      <c r="J101" s="101"/>
      <c r="K101" s="111"/>
      <c r="L101" s="111"/>
      <c r="M101" s="111"/>
      <c r="N101" s="110"/>
      <c r="O101" s="112"/>
      <c r="P101" s="111"/>
      <c r="Q101" s="111"/>
      <c r="R101" s="111"/>
      <c r="S101" s="111"/>
      <c r="T101" s="111"/>
      <c r="U101" s="111"/>
      <c r="V101" s="116"/>
      <c r="W101" s="101"/>
      <c r="X101" s="101"/>
      <c r="Y101" s="101"/>
      <c r="Z101" s="117"/>
      <c r="AA101" s="117"/>
      <c r="AB101" s="117"/>
      <c r="AC101" s="119"/>
      <c r="AD101" s="117"/>
      <c r="AE101" s="117"/>
      <c r="AF101" s="119"/>
    </row>
    <row r="102" spans="2:32" ht="12.75">
      <c r="B102" s="107"/>
      <c r="C102" s="109"/>
      <c r="D102" s="110"/>
      <c r="E102" s="110"/>
      <c r="F102" s="110"/>
      <c r="G102" s="110"/>
      <c r="H102" s="101"/>
      <c r="I102" s="101"/>
      <c r="J102" s="101"/>
      <c r="K102" s="111"/>
      <c r="L102" s="111"/>
      <c r="M102" s="111"/>
      <c r="N102" s="110"/>
      <c r="O102" s="112"/>
      <c r="P102" s="111"/>
      <c r="Q102" s="111"/>
      <c r="R102" s="111"/>
      <c r="S102" s="111"/>
      <c r="T102" s="111"/>
      <c r="U102" s="111"/>
      <c r="V102" s="116"/>
      <c r="W102" s="101"/>
      <c r="X102" s="101"/>
      <c r="Y102" s="101"/>
      <c r="Z102" s="117"/>
      <c r="AA102" s="117"/>
      <c r="AB102" s="117"/>
      <c r="AC102" s="119"/>
      <c r="AD102" s="117"/>
      <c r="AE102" s="117"/>
      <c r="AF102" s="119"/>
    </row>
    <row r="103" spans="2:32" ht="12.75">
      <c r="B103" s="107"/>
      <c r="C103" s="109"/>
      <c r="D103" s="110"/>
      <c r="E103" s="110"/>
      <c r="F103" s="110"/>
      <c r="G103" s="110"/>
      <c r="H103" s="101"/>
      <c r="I103" s="101"/>
      <c r="J103" s="101"/>
      <c r="K103" s="111"/>
      <c r="L103" s="111"/>
      <c r="M103" s="111"/>
      <c r="N103" s="110"/>
      <c r="O103" s="112"/>
      <c r="P103" s="111"/>
      <c r="Q103" s="111"/>
      <c r="R103" s="111"/>
      <c r="S103" s="111"/>
      <c r="T103" s="111"/>
      <c r="U103" s="111"/>
      <c r="V103" s="116"/>
      <c r="W103" s="101"/>
      <c r="X103" s="101"/>
      <c r="Y103" s="101"/>
      <c r="Z103" s="117"/>
      <c r="AA103" s="117"/>
      <c r="AB103" s="117"/>
      <c r="AC103" s="119"/>
      <c r="AD103" s="117"/>
      <c r="AE103" s="117"/>
      <c r="AF103" s="119"/>
    </row>
    <row r="104" spans="2:32" ht="12.75">
      <c r="B104" s="107"/>
      <c r="C104" s="109"/>
      <c r="D104" s="110"/>
      <c r="E104" s="110"/>
      <c r="F104" s="110"/>
      <c r="G104" s="110"/>
      <c r="H104" s="101"/>
      <c r="I104" s="101"/>
      <c r="J104" s="101"/>
      <c r="K104" s="111"/>
      <c r="L104" s="111"/>
      <c r="M104" s="111"/>
      <c r="N104" s="110"/>
      <c r="O104" s="112"/>
      <c r="P104" s="111"/>
      <c r="Q104" s="111"/>
      <c r="R104" s="111"/>
      <c r="S104" s="111"/>
      <c r="T104" s="111"/>
      <c r="U104" s="111"/>
      <c r="V104" s="116"/>
      <c r="W104" s="101"/>
      <c r="X104" s="101"/>
      <c r="Y104" s="101"/>
      <c r="Z104" s="117"/>
      <c r="AA104" s="117"/>
      <c r="AB104" s="117"/>
      <c r="AC104" s="119"/>
      <c r="AD104" s="117"/>
      <c r="AE104" s="117"/>
      <c r="AF104" s="119"/>
    </row>
    <row r="105" spans="2:32" ht="12.75">
      <c r="B105" s="107"/>
      <c r="C105" s="109"/>
      <c r="D105" s="110"/>
      <c r="E105" s="110"/>
      <c r="F105" s="110"/>
      <c r="G105" s="110"/>
      <c r="H105" s="101"/>
      <c r="I105" s="101"/>
      <c r="J105" s="101"/>
      <c r="K105" s="111"/>
      <c r="L105" s="111"/>
      <c r="M105" s="111"/>
      <c r="N105" s="110"/>
      <c r="O105" s="112"/>
      <c r="P105" s="111"/>
      <c r="Q105" s="111"/>
      <c r="R105" s="111"/>
      <c r="S105" s="111"/>
      <c r="T105" s="111"/>
      <c r="U105" s="111"/>
      <c r="V105" s="116"/>
      <c r="W105" s="101"/>
      <c r="X105" s="101"/>
      <c r="Y105" s="101"/>
      <c r="Z105" s="117"/>
      <c r="AA105" s="117"/>
      <c r="AB105" s="117"/>
      <c r="AC105" s="119"/>
      <c r="AD105" s="117"/>
      <c r="AE105" s="117"/>
      <c r="AF105" s="119"/>
    </row>
    <row r="106" spans="2:32" ht="12.75">
      <c r="B106" s="107"/>
      <c r="C106" s="109"/>
      <c r="D106" s="110"/>
      <c r="E106" s="110"/>
      <c r="F106" s="110"/>
      <c r="G106" s="110"/>
      <c r="H106" s="101"/>
      <c r="I106" s="101"/>
      <c r="J106" s="101"/>
      <c r="K106" s="111"/>
      <c r="L106" s="111"/>
      <c r="M106" s="111"/>
      <c r="N106" s="110"/>
      <c r="O106" s="112"/>
      <c r="P106" s="111"/>
      <c r="Q106" s="111"/>
      <c r="R106" s="111"/>
      <c r="S106" s="111"/>
      <c r="T106" s="111"/>
      <c r="U106" s="111"/>
      <c r="V106" s="116"/>
      <c r="Z106" s="117"/>
      <c r="AA106" s="117"/>
      <c r="AB106" s="117"/>
      <c r="AC106" s="119"/>
      <c r="AD106" s="117"/>
      <c r="AE106" s="117"/>
      <c r="AF106" s="119"/>
    </row>
    <row r="107" spans="2:32" ht="12.75">
      <c r="B107" s="107"/>
      <c r="C107" s="109"/>
      <c r="D107" s="110"/>
      <c r="E107" s="110"/>
      <c r="F107" s="110"/>
      <c r="G107" s="110"/>
      <c r="H107" s="101"/>
      <c r="I107" s="101"/>
      <c r="J107" s="101"/>
      <c r="K107" s="111"/>
      <c r="L107" s="111"/>
      <c r="M107" s="111"/>
      <c r="N107" s="110"/>
      <c r="O107" s="112"/>
      <c r="P107" s="111"/>
      <c r="Q107" s="111"/>
      <c r="R107" s="111"/>
      <c r="S107" s="111"/>
      <c r="T107" s="111"/>
      <c r="U107" s="111"/>
      <c r="V107" s="116"/>
      <c r="Z107" s="117"/>
      <c r="AA107" s="117"/>
      <c r="AB107" s="117"/>
      <c r="AC107" s="119"/>
      <c r="AD107" s="117"/>
      <c r="AE107" s="117"/>
      <c r="AF107" s="119"/>
    </row>
    <row r="108" spans="2:32" ht="12.75">
      <c r="B108" s="107"/>
      <c r="C108" s="109"/>
      <c r="D108" s="110"/>
      <c r="E108" s="110"/>
      <c r="F108" s="110"/>
      <c r="G108" s="110"/>
      <c r="H108" s="101"/>
      <c r="I108" s="101"/>
      <c r="J108" s="101"/>
      <c r="K108" s="111"/>
      <c r="L108" s="111"/>
      <c r="M108" s="111"/>
      <c r="N108" s="110"/>
      <c r="O108" s="112"/>
      <c r="P108" s="111"/>
      <c r="Q108" s="111"/>
      <c r="R108" s="111"/>
      <c r="S108" s="111"/>
      <c r="T108" s="111"/>
      <c r="U108" s="111"/>
      <c r="V108" s="116"/>
      <c r="Z108" s="117"/>
      <c r="AA108" s="117"/>
      <c r="AB108" s="117"/>
      <c r="AC108" s="119"/>
      <c r="AD108" s="117"/>
      <c r="AE108" s="117"/>
      <c r="AF108" s="119"/>
    </row>
    <row r="109" spans="2:32" ht="12.75">
      <c r="B109" s="107"/>
      <c r="C109" s="109"/>
      <c r="D109" s="110"/>
      <c r="E109" s="110"/>
      <c r="F109" s="110"/>
      <c r="G109" s="110"/>
      <c r="H109" s="101"/>
      <c r="I109" s="101"/>
      <c r="J109" s="101"/>
      <c r="K109" s="111"/>
      <c r="L109" s="111"/>
      <c r="M109" s="111"/>
      <c r="N109" s="110"/>
      <c r="O109" s="112"/>
      <c r="P109" s="111"/>
      <c r="Q109" s="111"/>
      <c r="R109" s="111"/>
      <c r="S109" s="111"/>
      <c r="T109" s="111"/>
      <c r="U109" s="111"/>
      <c r="V109" s="116"/>
      <c r="Z109" s="117"/>
      <c r="AA109" s="117"/>
      <c r="AB109" s="117"/>
      <c r="AC109" s="119"/>
      <c r="AD109" s="117"/>
      <c r="AE109" s="117"/>
      <c r="AF109" s="119"/>
    </row>
    <row r="110" spans="2:32" ht="12.75">
      <c r="B110" s="107"/>
      <c r="C110" s="109"/>
      <c r="D110" s="110"/>
      <c r="E110" s="110"/>
      <c r="F110" s="110"/>
      <c r="G110" s="110"/>
      <c r="H110" s="101"/>
      <c r="I110" s="101"/>
      <c r="J110" s="101"/>
      <c r="K110" s="111"/>
      <c r="L110" s="111"/>
      <c r="M110" s="111"/>
      <c r="N110" s="110"/>
      <c r="O110" s="112"/>
      <c r="P110" s="111"/>
      <c r="Q110" s="111"/>
      <c r="R110" s="111"/>
      <c r="S110" s="111"/>
      <c r="T110" s="111"/>
      <c r="U110" s="111"/>
      <c r="V110" s="116"/>
      <c r="Z110" s="117"/>
      <c r="AA110" s="117"/>
      <c r="AB110" s="117"/>
      <c r="AC110" s="119"/>
      <c r="AD110" s="117"/>
      <c r="AE110" s="117"/>
      <c r="AF110" s="119"/>
    </row>
    <row r="111" spans="2:32" ht="12.75">
      <c r="B111" s="107"/>
      <c r="W111" s="100"/>
      <c r="Z111" s="117"/>
      <c r="AA111" s="117"/>
      <c r="AB111" s="117"/>
      <c r="AC111" s="119"/>
      <c r="AD111" s="117"/>
      <c r="AE111" s="117"/>
      <c r="AF111" s="119"/>
    </row>
    <row r="112" spans="2:32" ht="12.75">
      <c r="B112" s="107"/>
      <c r="W112" s="100"/>
      <c r="Z112" s="117"/>
      <c r="AA112" s="117"/>
      <c r="AB112" s="117"/>
      <c r="AC112" s="119"/>
      <c r="AD112" s="117"/>
      <c r="AE112" s="117"/>
      <c r="AF112" s="119"/>
    </row>
    <row r="113" spans="2:32" ht="12.75">
      <c r="B113" s="107"/>
      <c r="W113" s="100"/>
      <c r="Z113" s="117"/>
      <c r="AA113" s="117"/>
      <c r="AB113" s="117"/>
      <c r="AC113" s="119"/>
      <c r="AD113" s="117"/>
      <c r="AE113" s="117"/>
      <c r="AF113" s="119"/>
    </row>
    <row r="114" spans="2:32" ht="12.75">
      <c r="B114" s="107"/>
      <c r="W114" s="100"/>
      <c r="Z114" s="117"/>
      <c r="AA114" s="117"/>
      <c r="AB114" s="117"/>
      <c r="AC114" s="119"/>
      <c r="AD114" s="117"/>
      <c r="AE114" s="117"/>
      <c r="AF114" s="119"/>
    </row>
    <row r="115" spans="2:32" ht="12.75">
      <c r="B115" s="107"/>
      <c r="W115" s="100"/>
      <c r="Z115" s="117"/>
      <c r="AA115" s="117"/>
      <c r="AB115" s="117"/>
      <c r="AC115" s="119"/>
      <c r="AD115" s="117"/>
      <c r="AE115" s="117"/>
      <c r="AF115" s="119"/>
    </row>
    <row r="116" spans="2:32" ht="12.75">
      <c r="B116" s="107"/>
      <c r="W116" s="100"/>
      <c r="Z116" s="117"/>
      <c r="AA116" s="117"/>
      <c r="AB116" s="117"/>
      <c r="AC116" s="119"/>
      <c r="AD116" s="117"/>
      <c r="AE116" s="117"/>
      <c r="AF116" s="119"/>
    </row>
    <row r="117" spans="2:32" ht="12.75">
      <c r="B117" s="107"/>
      <c r="W117" s="100"/>
      <c r="Z117" s="117"/>
      <c r="AA117" s="117"/>
      <c r="AB117" s="117"/>
      <c r="AC117" s="119"/>
      <c r="AD117" s="117"/>
      <c r="AE117" s="117"/>
      <c r="AF117" s="119"/>
    </row>
    <row r="118" spans="2:32" ht="12.75">
      <c r="B118" s="107"/>
      <c r="W118" s="100"/>
      <c r="Z118" s="117"/>
      <c r="AA118" s="117"/>
      <c r="AB118" s="117"/>
      <c r="AC118" s="119"/>
      <c r="AD118" s="117"/>
      <c r="AE118" s="117"/>
      <c r="AF118" s="119"/>
    </row>
    <row r="119" spans="2:32" ht="12.75">
      <c r="B119" s="107"/>
      <c r="W119" s="100"/>
      <c r="Z119" s="117"/>
      <c r="AA119" s="117"/>
      <c r="AB119" s="117"/>
      <c r="AC119" s="119"/>
      <c r="AD119" s="117"/>
      <c r="AE119" s="117"/>
      <c r="AF119" s="119"/>
    </row>
    <row r="120" spans="2:32" ht="12.75">
      <c r="B120" s="107"/>
      <c r="W120" s="100"/>
      <c r="Z120" s="117"/>
      <c r="AA120" s="117"/>
      <c r="AB120" s="117"/>
      <c r="AC120" s="119"/>
      <c r="AD120" s="117"/>
      <c r="AE120" s="117"/>
      <c r="AF120" s="119"/>
    </row>
    <row r="121" spans="2:32" ht="12.75">
      <c r="B121" s="107"/>
      <c r="W121" s="100"/>
      <c r="Z121" s="117"/>
      <c r="AA121" s="117"/>
      <c r="AB121" s="117"/>
      <c r="AC121" s="119"/>
      <c r="AD121" s="117"/>
      <c r="AE121" s="117"/>
      <c r="AF121" s="119"/>
    </row>
    <row r="122" spans="2:32" ht="12.75">
      <c r="B122" s="107"/>
      <c r="W122" s="100"/>
      <c r="Z122" s="117"/>
      <c r="AA122" s="117"/>
      <c r="AB122" s="117"/>
      <c r="AC122" s="119"/>
      <c r="AD122" s="117"/>
      <c r="AE122" s="117"/>
      <c r="AF122" s="119"/>
    </row>
    <row r="123" spans="2:32" ht="12.75">
      <c r="B123" s="107"/>
      <c r="W123" s="100"/>
      <c r="Z123" s="117"/>
      <c r="AA123" s="117"/>
      <c r="AB123" s="117"/>
      <c r="AC123" s="119"/>
      <c r="AD123" s="117"/>
      <c r="AE123" s="117"/>
      <c r="AF123" s="119"/>
    </row>
    <row r="124" spans="2:32" ht="12.75">
      <c r="B124" s="107"/>
      <c r="W124" s="100"/>
      <c r="Z124" s="117"/>
      <c r="AA124" s="117"/>
      <c r="AB124" s="117"/>
      <c r="AC124" s="119"/>
      <c r="AD124" s="117"/>
      <c r="AE124" s="117"/>
      <c r="AF124" s="119"/>
    </row>
    <row r="125" spans="2:32" ht="12.75">
      <c r="B125" s="107"/>
      <c r="W125" s="100"/>
      <c r="Z125" s="117"/>
      <c r="AA125" s="117"/>
      <c r="AB125" s="117"/>
      <c r="AC125" s="119"/>
      <c r="AD125" s="117"/>
      <c r="AE125" s="117"/>
      <c r="AF125" s="119"/>
    </row>
    <row r="126" spans="2:32" ht="12.75">
      <c r="B126" s="107"/>
      <c r="W126" s="100"/>
      <c r="Z126" s="117"/>
      <c r="AA126" s="117"/>
      <c r="AB126" s="117"/>
      <c r="AC126" s="119"/>
      <c r="AD126" s="117"/>
      <c r="AE126" s="117"/>
      <c r="AF126" s="119"/>
    </row>
    <row r="127" spans="2:32" ht="12.75">
      <c r="B127" s="107"/>
      <c r="W127" s="100"/>
      <c r="Z127" s="117"/>
      <c r="AA127" s="117"/>
      <c r="AB127" s="117"/>
      <c r="AC127" s="119"/>
      <c r="AD127" s="117"/>
      <c r="AE127" s="117"/>
      <c r="AF127" s="119"/>
    </row>
    <row r="128" spans="2:32" ht="12.75">
      <c r="B128" s="107"/>
      <c r="W128" s="100"/>
      <c r="Z128" s="117"/>
      <c r="AA128" s="117"/>
      <c r="AB128" s="117"/>
      <c r="AC128" s="119"/>
      <c r="AD128" s="117"/>
      <c r="AE128" s="117"/>
      <c r="AF128" s="119"/>
    </row>
    <row r="129" spans="2:32" ht="12.75">
      <c r="B129" s="107"/>
      <c r="W129" s="100"/>
      <c r="Z129" s="117"/>
      <c r="AA129" s="117"/>
      <c r="AB129" s="117"/>
      <c r="AC129" s="119"/>
      <c r="AD129" s="117"/>
      <c r="AE129" s="117"/>
      <c r="AF129" s="119"/>
    </row>
    <row r="130" spans="2:32" ht="12.75">
      <c r="B130" s="107"/>
      <c r="W130" s="100"/>
      <c r="Z130" s="117"/>
      <c r="AA130" s="117"/>
      <c r="AB130" s="117"/>
      <c r="AC130" s="119"/>
      <c r="AD130" s="117"/>
      <c r="AE130" s="117"/>
      <c r="AF130" s="119"/>
    </row>
    <row r="131" spans="2:32" ht="12.75">
      <c r="B131" s="107"/>
      <c r="W131" s="100"/>
      <c r="Z131" s="117"/>
      <c r="AA131" s="117"/>
      <c r="AB131" s="117"/>
      <c r="AC131" s="119"/>
      <c r="AD131" s="117"/>
      <c r="AE131" s="117"/>
      <c r="AF131" s="119"/>
    </row>
    <row r="132" spans="2:32" ht="12.75">
      <c r="B132" s="107"/>
      <c r="W132" s="100"/>
      <c r="Z132" s="117"/>
      <c r="AA132" s="117"/>
      <c r="AB132" s="117"/>
      <c r="AC132" s="119"/>
      <c r="AD132" s="117"/>
      <c r="AE132" s="117"/>
      <c r="AF132" s="119"/>
    </row>
    <row r="133" spans="2:32" ht="12.75">
      <c r="B133" s="107"/>
      <c r="W133" s="100"/>
      <c r="Z133" s="117"/>
      <c r="AA133" s="117"/>
      <c r="AB133" s="117"/>
      <c r="AC133" s="119"/>
      <c r="AD133" s="117"/>
      <c r="AE133" s="117"/>
      <c r="AF133" s="119"/>
    </row>
    <row r="134" spans="2:32" ht="12.75">
      <c r="B134" s="107"/>
      <c r="W134" s="100"/>
      <c r="Z134" s="117"/>
      <c r="AA134" s="117"/>
      <c r="AB134" s="117"/>
      <c r="AC134" s="119"/>
      <c r="AD134" s="117"/>
      <c r="AE134" s="117"/>
      <c r="AF134" s="119"/>
    </row>
    <row r="135" spans="2:32" ht="12.75">
      <c r="B135" s="107"/>
      <c r="W135" s="100"/>
      <c r="Z135" s="117"/>
      <c r="AA135" s="117"/>
      <c r="AB135" s="117"/>
      <c r="AC135" s="119"/>
      <c r="AD135" s="117"/>
      <c r="AE135" s="117"/>
      <c r="AF135" s="119"/>
    </row>
    <row r="136" spans="23:32" ht="12.75">
      <c r="W136" s="100"/>
      <c r="Z136" s="117"/>
      <c r="AA136" s="117"/>
      <c r="AB136" s="117"/>
      <c r="AC136" s="119"/>
      <c r="AD136" s="117"/>
      <c r="AE136" s="117"/>
      <c r="AF136" s="119"/>
    </row>
    <row r="137" spans="23:32" ht="12.75">
      <c r="W137" s="100"/>
      <c r="Z137" s="117"/>
      <c r="AA137" s="117"/>
      <c r="AB137" s="117"/>
      <c r="AC137" s="119"/>
      <c r="AD137" s="117"/>
      <c r="AE137" s="117"/>
      <c r="AF137" s="119"/>
    </row>
    <row r="138" spans="23:32" ht="12.75">
      <c r="W138" s="100"/>
      <c r="Z138" s="117"/>
      <c r="AA138" s="117"/>
      <c r="AB138" s="117"/>
      <c r="AC138" s="119"/>
      <c r="AD138" s="117"/>
      <c r="AE138" s="117"/>
      <c r="AF138" s="119"/>
    </row>
    <row r="139" spans="23:32" ht="12.75">
      <c r="W139" s="100"/>
      <c r="Z139" s="117"/>
      <c r="AA139" s="117"/>
      <c r="AB139" s="117"/>
      <c r="AC139" s="119"/>
      <c r="AD139" s="117"/>
      <c r="AE139" s="117"/>
      <c r="AF139" s="119"/>
    </row>
    <row r="140" spans="23:32" ht="12.75">
      <c r="W140" s="100"/>
      <c r="Z140" s="117"/>
      <c r="AA140" s="117"/>
      <c r="AB140" s="117"/>
      <c r="AC140" s="119"/>
      <c r="AD140" s="117"/>
      <c r="AE140" s="117"/>
      <c r="AF140" s="119"/>
    </row>
    <row r="141" spans="23:32" ht="12.75">
      <c r="W141" s="100"/>
      <c r="Z141" s="117"/>
      <c r="AA141" s="117"/>
      <c r="AB141" s="117"/>
      <c r="AC141" s="119"/>
      <c r="AD141" s="117"/>
      <c r="AE141" s="117"/>
      <c r="AF141" s="119"/>
    </row>
    <row r="142" spans="23:32" ht="12.75">
      <c r="W142" s="100"/>
      <c r="Z142" s="117"/>
      <c r="AA142" s="117"/>
      <c r="AB142" s="117"/>
      <c r="AC142" s="119"/>
      <c r="AD142" s="117"/>
      <c r="AE142" s="117"/>
      <c r="AF142" s="119"/>
    </row>
    <row r="143" spans="23:32" ht="12.75">
      <c r="W143" s="100"/>
      <c r="Z143" s="117"/>
      <c r="AA143" s="117"/>
      <c r="AB143" s="117"/>
      <c r="AC143" s="119"/>
      <c r="AD143" s="117"/>
      <c r="AE143" s="117"/>
      <c r="AF143" s="119"/>
    </row>
    <row r="144" spans="23:32" ht="12.75">
      <c r="W144" s="100"/>
      <c r="Z144" s="117"/>
      <c r="AA144" s="117"/>
      <c r="AB144" s="117"/>
      <c r="AC144" s="119"/>
      <c r="AD144" s="117"/>
      <c r="AE144" s="117"/>
      <c r="AF144" s="119"/>
    </row>
    <row r="145" spans="23:32" ht="12.75">
      <c r="W145" s="100"/>
      <c r="Z145" s="117"/>
      <c r="AA145" s="117"/>
      <c r="AB145" s="117"/>
      <c r="AC145" s="119"/>
      <c r="AD145" s="117"/>
      <c r="AE145" s="117"/>
      <c r="AF145" s="119"/>
    </row>
    <row r="146" spans="23:32" ht="12.75">
      <c r="W146" s="100"/>
      <c r="Z146" s="117"/>
      <c r="AA146" s="117"/>
      <c r="AB146" s="117"/>
      <c r="AC146" s="119"/>
      <c r="AD146" s="117"/>
      <c r="AE146" s="117"/>
      <c r="AF146" s="119"/>
    </row>
    <row r="147" spans="23:32" ht="12.75">
      <c r="W147" s="100"/>
      <c r="Z147" s="117"/>
      <c r="AA147" s="117"/>
      <c r="AB147" s="117"/>
      <c r="AC147" s="119"/>
      <c r="AD147" s="117"/>
      <c r="AE147" s="117"/>
      <c r="AF147" s="119"/>
    </row>
    <row r="148" spans="23:32" ht="12.75">
      <c r="W148" s="100"/>
      <c r="Z148" s="117"/>
      <c r="AA148" s="117"/>
      <c r="AB148" s="117"/>
      <c r="AC148" s="119"/>
      <c r="AD148" s="117"/>
      <c r="AE148" s="117"/>
      <c r="AF148" s="119"/>
    </row>
    <row r="149" spans="23:32" ht="12.75">
      <c r="W149" s="100"/>
      <c r="Z149" s="117"/>
      <c r="AA149" s="117"/>
      <c r="AB149" s="117"/>
      <c r="AC149" s="119"/>
      <c r="AD149" s="117"/>
      <c r="AE149" s="117"/>
      <c r="AF149" s="119"/>
    </row>
    <row r="150" spans="23:32" ht="12.75">
      <c r="W150" s="100"/>
      <c r="Z150" s="117"/>
      <c r="AA150" s="117"/>
      <c r="AB150" s="117"/>
      <c r="AC150" s="119"/>
      <c r="AD150" s="117"/>
      <c r="AE150" s="117"/>
      <c r="AF150" s="119"/>
    </row>
    <row r="151" spans="23:32" ht="12.75">
      <c r="W151" s="100"/>
      <c r="Z151" s="117"/>
      <c r="AA151" s="117"/>
      <c r="AB151" s="117"/>
      <c r="AC151" s="119"/>
      <c r="AD151" s="117"/>
      <c r="AE151" s="117"/>
      <c r="AF151" s="119"/>
    </row>
    <row r="152" spans="23:32" ht="12.75">
      <c r="W152" s="100"/>
      <c r="Z152" s="117"/>
      <c r="AA152" s="117"/>
      <c r="AB152" s="117"/>
      <c r="AC152" s="119"/>
      <c r="AD152" s="117"/>
      <c r="AE152" s="117"/>
      <c r="AF152" s="119"/>
    </row>
    <row r="153" spans="23:32" ht="12.75">
      <c r="W153" s="100"/>
      <c r="Z153" s="117"/>
      <c r="AA153" s="117"/>
      <c r="AB153" s="117"/>
      <c r="AC153" s="119"/>
      <c r="AD153" s="117"/>
      <c r="AE153" s="117"/>
      <c r="AF153" s="119"/>
    </row>
    <row r="154" spans="23:32" ht="12.75">
      <c r="W154" s="100"/>
      <c r="Z154" s="117"/>
      <c r="AA154" s="117"/>
      <c r="AB154" s="117"/>
      <c r="AC154" s="119"/>
      <c r="AD154" s="117"/>
      <c r="AE154" s="117"/>
      <c r="AF154" s="119"/>
    </row>
    <row r="155" spans="23:32" ht="12.75">
      <c r="W155" s="100"/>
      <c r="Z155" s="117"/>
      <c r="AA155" s="117"/>
      <c r="AB155" s="117"/>
      <c r="AC155" s="119"/>
      <c r="AD155" s="117"/>
      <c r="AE155" s="117"/>
      <c r="AF155" s="119"/>
    </row>
    <row r="156" spans="23:32" ht="12.75">
      <c r="W156" s="100"/>
      <c r="Z156" s="117"/>
      <c r="AA156" s="117"/>
      <c r="AB156" s="117"/>
      <c r="AC156" s="119"/>
      <c r="AD156" s="117"/>
      <c r="AE156" s="117"/>
      <c r="AF156" s="119"/>
    </row>
    <row r="157" spans="23:32" ht="12.75">
      <c r="W157" s="100"/>
      <c r="Z157" s="117"/>
      <c r="AA157" s="117"/>
      <c r="AB157" s="117"/>
      <c r="AC157" s="119"/>
      <c r="AD157" s="117"/>
      <c r="AE157" s="117"/>
      <c r="AF157" s="119"/>
    </row>
    <row r="158" spans="23:32" ht="12.75">
      <c r="W158" s="100"/>
      <c r="Z158" s="117"/>
      <c r="AA158" s="117"/>
      <c r="AB158" s="117"/>
      <c r="AC158" s="119"/>
      <c r="AD158" s="117"/>
      <c r="AE158" s="117"/>
      <c r="AF158" s="119"/>
    </row>
    <row r="159" spans="23:32" ht="12.75">
      <c r="W159" s="100"/>
      <c r="Z159" s="117"/>
      <c r="AA159" s="117"/>
      <c r="AB159" s="117"/>
      <c r="AC159" s="119"/>
      <c r="AD159" s="117"/>
      <c r="AE159" s="117"/>
      <c r="AF159" s="119"/>
    </row>
    <row r="160" spans="23:32" ht="12.75">
      <c r="W160" s="100"/>
      <c r="Z160" s="117"/>
      <c r="AA160" s="117"/>
      <c r="AB160" s="117"/>
      <c r="AC160" s="119"/>
      <c r="AD160" s="117"/>
      <c r="AE160" s="117"/>
      <c r="AF160" s="119"/>
    </row>
    <row r="161" spans="23:32" ht="12.75">
      <c r="W161" s="100"/>
      <c r="Z161" s="117"/>
      <c r="AA161" s="117"/>
      <c r="AB161" s="117"/>
      <c r="AC161" s="119"/>
      <c r="AD161" s="117"/>
      <c r="AE161" s="117"/>
      <c r="AF161" s="119"/>
    </row>
    <row r="162" spans="23:32" ht="12.75">
      <c r="W162" s="100"/>
      <c r="Z162" s="117"/>
      <c r="AA162" s="117"/>
      <c r="AB162" s="117"/>
      <c r="AC162" s="119"/>
      <c r="AD162" s="117"/>
      <c r="AE162" s="117"/>
      <c r="AF162" s="119"/>
    </row>
    <row r="163" spans="23:32" ht="12.75">
      <c r="W163" s="100"/>
      <c r="Z163" s="117"/>
      <c r="AA163" s="117"/>
      <c r="AB163" s="117"/>
      <c r="AC163" s="119"/>
      <c r="AD163" s="117"/>
      <c r="AE163" s="117"/>
      <c r="AF163" s="119"/>
    </row>
    <row r="164" spans="23:32" ht="12.75">
      <c r="W164" s="100"/>
      <c r="Z164" s="117"/>
      <c r="AA164" s="117"/>
      <c r="AB164" s="117"/>
      <c r="AC164" s="119"/>
      <c r="AD164" s="117"/>
      <c r="AE164" s="117"/>
      <c r="AF164" s="119"/>
    </row>
    <row r="165" spans="23:32" ht="12.75">
      <c r="W165" s="100"/>
      <c r="Z165" s="117"/>
      <c r="AA165" s="117"/>
      <c r="AB165" s="117"/>
      <c r="AC165" s="119"/>
      <c r="AD165" s="117"/>
      <c r="AE165" s="117"/>
      <c r="AF165" s="119"/>
    </row>
    <row r="166" spans="23:32" ht="12.75">
      <c r="W166" s="100"/>
      <c r="Z166" s="117"/>
      <c r="AA166" s="117"/>
      <c r="AB166" s="117"/>
      <c r="AC166" s="119"/>
      <c r="AD166" s="117"/>
      <c r="AE166" s="117"/>
      <c r="AF166" s="119"/>
    </row>
    <row r="167" spans="23:32" ht="12.75">
      <c r="W167" s="100"/>
      <c r="Z167" s="117"/>
      <c r="AA167" s="117"/>
      <c r="AB167" s="117"/>
      <c r="AC167" s="119"/>
      <c r="AD167" s="117"/>
      <c r="AE167" s="117"/>
      <c r="AF167" s="119"/>
    </row>
    <row r="168" spans="23:32" ht="12.75">
      <c r="W168" s="100"/>
      <c r="Z168" s="117"/>
      <c r="AA168" s="117"/>
      <c r="AB168" s="117"/>
      <c r="AC168" s="119"/>
      <c r="AD168" s="117"/>
      <c r="AE168" s="117"/>
      <c r="AF168" s="119"/>
    </row>
    <row r="169" spans="23:32" ht="12.75">
      <c r="W169" s="100"/>
      <c r="Z169" s="117"/>
      <c r="AA169" s="117"/>
      <c r="AB169" s="117"/>
      <c r="AC169" s="119"/>
      <c r="AD169" s="117"/>
      <c r="AE169" s="117"/>
      <c r="AF169" s="119"/>
    </row>
    <row r="170" spans="23:32" ht="12.75">
      <c r="W170" s="100"/>
      <c r="Z170" s="117"/>
      <c r="AA170" s="117"/>
      <c r="AB170" s="117"/>
      <c r="AC170" s="119"/>
      <c r="AD170" s="117"/>
      <c r="AE170" s="117"/>
      <c r="AF170" s="119"/>
    </row>
    <row r="171" spans="23:32" ht="12.75">
      <c r="W171" s="100"/>
      <c r="Z171" s="117"/>
      <c r="AA171" s="117"/>
      <c r="AB171" s="117"/>
      <c r="AC171" s="119"/>
      <c r="AD171" s="117"/>
      <c r="AE171" s="117"/>
      <c r="AF171" s="119"/>
    </row>
    <row r="172" spans="23:32" ht="12.75">
      <c r="W172" s="100"/>
      <c r="Z172" s="117"/>
      <c r="AA172" s="117"/>
      <c r="AB172" s="117"/>
      <c r="AC172" s="119"/>
      <c r="AD172" s="117"/>
      <c r="AE172" s="117"/>
      <c r="AF172" s="119"/>
    </row>
    <row r="173" spans="23:32" ht="12.75">
      <c r="W173" s="100"/>
      <c r="Z173" s="117"/>
      <c r="AA173" s="117"/>
      <c r="AB173" s="117"/>
      <c r="AC173" s="119"/>
      <c r="AD173" s="117"/>
      <c r="AE173" s="117"/>
      <c r="AF173" s="119"/>
    </row>
    <row r="174" spans="23:32" ht="12.75">
      <c r="W174" s="100"/>
      <c r="Z174" s="117"/>
      <c r="AA174" s="117"/>
      <c r="AB174" s="117"/>
      <c r="AC174" s="119"/>
      <c r="AD174" s="117"/>
      <c r="AE174" s="117"/>
      <c r="AF174" s="119"/>
    </row>
    <row r="175" spans="23:32" ht="12.75">
      <c r="W175" s="100"/>
      <c r="Z175" s="117"/>
      <c r="AA175" s="117"/>
      <c r="AB175" s="117"/>
      <c r="AC175" s="119"/>
      <c r="AD175" s="117"/>
      <c r="AE175" s="117"/>
      <c r="AF175" s="119"/>
    </row>
    <row r="176" spans="23:32" ht="12.75">
      <c r="W176" s="100"/>
      <c r="Z176" s="117"/>
      <c r="AA176" s="117"/>
      <c r="AB176" s="117"/>
      <c r="AC176" s="119"/>
      <c r="AD176" s="117"/>
      <c r="AE176" s="117"/>
      <c r="AF176" s="119"/>
    </row>
    <row r="177" spans="23:32" ht="12.75">
      <c r="W177" s="100"/>
      <c r="Z177" s="117"/>
      <c r="AA177" s="117"/>
      <c r="AB177" s="117"/>
      <c r="AC177" s="119"/>
      <c r="AD177" s="117"/>
      <c r="AE177" s="117"/>
      <c r="AF177" s="119"/>
    </row>
    <row r="178" spans="23:32" ht="12.75">
      <c r="W178" s="100"/>
      <c r="Z178" s="117"/>
      <c r="AA178" s="117"/>
      <c r="AB178" s="117"/>
      <c r="AC178" s="119"/>
      <c r="AD178" s="117"/>
      <c r="AE178" s="117"/>
      <c r="AF178" s="119"/>
    </row>
    <row r="179" spans="23:32" ht="12.75">
      <c r="W179" s="100"/>
      <c r="Z179" s="117"/>
      <c r="AA179" s="117"/>
      <c r="AB179" s="117"/>
      <c r="AC179" s="119"/>
      <c r="AD179" s="117"/>
      <c r="AE179" s="117"/>
      <c r="AF179" s="119"/>
    </row>
    <row r="180" spans="23:32" ht="12.75">
      <c r="W180" s="100"/>
      <c r="Z180" s="117"/>
      <c r="AA180" s="117"/>
      <c r="AB180" s="117"/>
      <c r="AC180" s="119"/>
      <c r="AD180" s="117"/>
      <c r="AE180" s="117"/>
      <c r="AF180" s="119"/>
    </row>
    <row r="181" spans="23:32" ht="12.75">
      <c r="W181" s="100"/>
      <c r="Z181" s="117"/>
      <c r="AA181" s="117"/>
      <c r="AB181" s="117"/>
      <c r="AC181" s="119"/>
      <c r="AD181" s="117"/>
      <c r="AE181" s="117"/>
      <c r="AF181" s="119"/>
    </row>
    <row r="182" spans="23:32" ht="12.75">
      <c r="W182" s="100"/>
      <c r="Z182" s="117"/>
      <c r="AA182" s="117"/>
      <c r="AB182" s="117"/>
      <c r="AC182" s="119"/>
      <c r="AD182" s="117"/>
      <c r="AE182" s="117"/>
      <c r="AF182" s="119"/>
    </row>
    <row r="183" spans="23:32" ht="12.75">
      <c r="W183" s="100"/>
      <c r="Z183" s="117"/>
      <c r="AA183" s="117"/>
      <c r="AB183" s="117"/>
      <c r="AC183" s="119"/>
      <c r="AD183" s="117"/>
      <c r="AE183" s="117"/>
      <c r="AF183" s="119"/>
    </row>
    <row r="184" spans="23:32" ht="12.75">
      <c r="W184" s="100"/>
      <c r="Z184" s="117"/>
      <c r="AA184" s="117"/>
      <c r="AB184" s="117"/>
      <c r="AC184" s="119"/>
      <c r="AD184" s="117"/>
      <c r="AE184" s="117"/>
      <c r="AF184" s="119"/>
    </row>
    <row r="185" spans="23:32" ht="12.75">
      <c r="W185" s="100"/>
      <c r="Z185" s="117"/>
      <c r="AA185" s="117"/>
      <c r="AB185" s="117"/>
      <c r="AC185" s="119"/>
      <c r="AD185" s="117"/>
      <c r="AE185" s="117"/>
      <c r="AF185" s="119"/>
    </row>
    <row r="186" spans="23:32" ht="12.75">
      <c r="W186" s="100"/>
      <c r="Z186" s="117"/>
      <c r="AA186" s="117"/>
      <c r="AB186" s="117"/>
      <c r="AC186" s="119"/>
      <c r="AD186" s="117"/>
      <c r="AE186" s="117"/>
      <c r="AF186" s="119"/>
    </row>
    <row r="187" spans="23:32" ht="12.75">
      <c r="W187" s="100"/>
      <c r="Z187" s="117"/>
      <c r="AA187" s="117"/>
      <c r="AB187" s="117"/>
      <c r="AC187" s="119"/>
      <c r="AD187" s="117"/>
      <c r="AE187" s="117"/>
      <c r="AF187" s="119"/>
    </row>
    <row r="188" spans="26:32" ht="12.75">
      <c r="Z188" s="117"/>
      <c r="AA188" s="117"/>
      <c r="AB188" s="117"/>
      <c r="AC188" s="119"/>
      <c r="AD188" s="117"/>
      <c r="AE188" s="117"/>
      <c r="AF188" s="119"/>
    </row>
    <row r="189" spans="26:32" ht="12.75">
      <c r="Z189" s="117"/>
      <c r="AA189" s="117"/>
      <c r="AB189" s="117"/>
      <c r="AC189" s="119"/>
      <c r="AD189" s="117"/>
      <c r="AE189" s="117"/>
      <c r="AF189" s="119"/>
    </row>
    <row r="190" spans="26:32" ht="12.75">
      <c r="Z190" s="117"/>
      <c r="AA190" s="117"/>
      <c r="AB190" s="117"/>
      <c r="AC190" s="119"/>
      <c r="AD190" s="117"/>
      <c r="AE190" s="117"/>
      <c r="AF190" s="119"/>
    </row>
    <row r="191" spans="26:32" ht="12.75">
      <c r="Z191" s="117"/>
      <c r="AA191" s="117"/>
      <c r="AB191" s="117"/>
      <c r="AC191" s="119"/>
      <c r="AD191" s="117"/>
      <c r="AE191" s="117"/>
      <c r="AF191" s="119"/>
    </row>
    <row r="192" spans="26:32" ht="12.75">
      <c r="Z192" s="117"/>
      <c r="AA192" s="117"/>
      <c r="AB192" s="117"/>
      <c r="AC192" s="119"/>
      <c r="AD192" s="117"/>
      <c r="AE192" s="117"/>
      <c r="AF192" s="119"/>
    </row>
    <row r="193" spans="26:32" ht="12.75">
      <c r="Z193" s="117"/>
      <c r="AA193" s="117"/>
      <c r="AB193" s="117"/>
      <c r="AC193" s="119"/>
      <c r="AD193" s="117"/>
      <c r="AE193" s="117"/>
      <c r="AF193" s="119"/>
    </row>
    <row r="194" spans="26:32" ht="12.75">
      <c r="Z194" s="117"/>
      <c r="AA194" s="117"/>
      <c r="AB194" s="117"/>
      <c r="AC194" s="119"/>
      <c r="AD194" s="117"/>
      <c r="AE194" s="117"/>
      <c r="AF194" s="119"/>
    </row>
    <row r="195" spans="26:32" ht="12.75">
      <c r="Z195" s="117"/>
      <c r="AA195" s="117"/>
      <c r="AB195" s="117"/>
      <c r="AC195" s="119"/>
      <c r="AD195" s="117"/>
      <c r="AE195" s="117"/>
      <c r="AF195" s="119"/>
    </row>
    <row r="196" spans="26:32" ht="12.75">
      <c r="Z196" s="117"/>
      <c r="AA196" s="117"/>
      <c r="AB196" s="117"/>
      <c r="AC196" s="119"/>
      <c r="AD196" s="117"/>
      <c r="AE196" s="117"/>
      <c r="AF196" s="119"/>
    </row>
    <row r="197" spans="26:32" ht="12.75">
      <c r="Z197" s="117"/>
      <c r="AA197" s="117"/>
      <c r="AB197" s="117"/>
      <c r="AC197" s="119"/>
      <c r="AD197" s="117"/>
      <c r="AE197" s="117"/>
      <c r="AF197" s="119"/>
    </row>
    <row r="198" spans="26:32" ht="12.75">
      <c r="Z198" s="117"/>
      <c r="AA198" s="117"/>
      <c r="AB198" s="117"/>
      <c r="AC198" s="119"/>
      <c r="AD198" s="117"/>
      <c r="AE198" s="117"/>
      <c r="AF198" s="119"/>
    </row>
    <row r="199" spans="26:32" ht="12.75">
      <c r="Z199" s="117"/>
      <c r="AA199" s="117"/>
      <c r="AB199" s="117"/>
      <c r="AC199" s="119"/>
      <c r="AD199" s="117"/>
      <c r="AE199" s="117"/>
      <c r="AF199" s="119"/>
    </row>
    <row r="200" spans="26:32" ht="12.75">
      <c r="Z200" s="117"/>
      <c r="AA200" s="117"/>
      <c r="AB200" s="117"/>
      <c r="AC200" s="119"/>
      <c r="AD200" s="117"/>
      <c r="AE200" s="117"/>
      <c r="AF200" s="119"/>
    </row>
    <row r="201" spans="26:32" ht="12.75">
      <c r="Z201" s="117"/>
      <c r="AA201" s="117"/>
      <c r="AB201" s="117"/>
      <c r="AC201" s="119"/>
      <c r="AD201" s="117"/>
      <c r="AE201" s="117"/>
      <c r="AF201" s="119"/>
    </row>
    <row r="202" spans="26:32" ht="12.75">
      <c r="Z202" s="117"/>
      <c r="AA202" s="117"/>
      <c r="AB202" s="117"/>
      <c r="AC202" s="119"/>
      <c r="AD202" s="117"/>
      <c r="AE202" s="117"/>
      <c r="AF202" s="119"/>
    </row>
    <row r="203" spans="26:32" ht="12.75">
      <c r="Z203" s="117"/>
      <c r="AA203" s="117"/>
      <c r="AB203" s="117"/>
      <c r="AC203" s="119"/>
      <c r="AD203" s="117"/>
      <c r="AE203" s="117"/>
      <c r="AF203" s="119"/>
    </row>
    <row r="204" spans="26:32" ht="12.75">
      <c r="Z204" s="117"/>
      <c r="AA204" s="117"/>
      <c r="AB204" s="117"/>
      <c r="AC204" s="119"/>
      <c r="AD204" s="117"/>
      <c r="AE204" s="117"/>
      <c r="AF204" s="119"/>
    </row>
    <row r="205" spans="27:28" ht="12.75">
      <c r="AA205" s="101"/>
      <c r="AB205" s="101"/>
    </row>
    <row r="206" spans="27:28" ht="12.75">
      <c r="AA206" s="101"/>
      <c r="AB206" s="101"/>
    </row>
  </sheetData>
  <sheetProtection/>
  <mergeCells count="5">
    <mergeCell ref="B2:J19"/>
    <mergeCell ref="Z2:AC2"/>
    <mergeCell ref="AD2:AF2"/>
    <mergeCell ref="Z1:AF1"/>
    <mergeCell ref="B32:C32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1506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.57421875" style="0" customWidth="1"/>
    <col min="2" max="2" width="21.00390625" style="0" customWidth="1"/>
    <col min="5" max="5" width="4.7109375" style="0" customWidth="1"/>
    <col min="6" max="6" width="20.7109375" style="0" customWidth="1"/>
  </cols>
  <sheetData>
    <row r="1" ht="18">
      <c r="B1" s="6" t="s">
        <v>219</v>
      </c>
    </row>
    <row r="2" spans="2:4" s="2" customFormat="1" ht="12.75">
      <c r="B2" s="9" t="s">
        <v>145</v>
      </c>
      <c r="D2" s="9" t="s">
        <v>146</v>
      </c>
    </row>
    <row r="3" spans="2:9" s="2" customFormat="1" ht="12.75">
      <c r="B3" s="9" t="s">
        <v>147</v>
      </c>
      <c r="D3" s="9" t="s">
        <v>217</v>
      </c>
      <c r="H3" s="1"/>
      <c r="I3" s="1"/>
    </row>
    <row r="4" spans="2:10" ht="12.75">
      <c r="B4" s="26" t="s">
        <v>148</v>
      </c>
      <c r="D4" s="9" t="s">
        <v>211</v>
      </c>
      <c r="H4" s="1"/>
      <c r="I4" s="1"/>
      <c r="J4" s="2"/>
    </row>
    <row r="5" spans="2:10" ht="12.75">
      <c r="B5" s="27"/>
      <c r="H5" s="1"/>
      <c r="I5" s="1"/>
      <c r="J5" s="2"/>
    </row>
    <row r="6" spans="2:8" ht="12.75">
      <c r="B6" s="28" t="s">
        <v>149</v>
      </c>
      <c r="C6" s="23"/>
      <c r="D6" s="23"/>
      <c r="E6" s="23"/>
      <c r="F6" s="28" t="s">
        <v>150</v>
      </c>
      <c r="G6" s="23"/>
      <c r="H6" s="23"/>
    </row>
    <row r="7" spans="1:9" ht="12.75">
      <c r="A7" s="7"/>
      <c r="B7" s="35" t="s">
        <v>176</v>
      </c>
      <c r="C7" s="36">
        <v>100</v>
      </c>
      <c r="D7" s="37" t="s">
        <v>179</v>
      </c>
      <c r="E7" s="23"/>
      <c r="F7" s="35" t="s">
        <v>186</v>
      </c>
      <c r="G7" s="39">
        <v>12.57</v>
      </c>
      <c r="H7" s="37" t="s">
        <v>151</v>
      </c>
      <c r="I7" s="7"/>
    </row>
    <row r="8" spans="1:9" ht="12.75">
      <c r="A8" s="7"/>
      <c r="B8" s="3" t="s">
        <v>188</v>
      </c>
      <c r="C8" s="29">
        <f>psat_t(C7)</f>
        <v>1.0141797792131015</v>
      </c>
      <c r="D8" s="5" t="s">
        <v>151</v>
      </c>
      <c r="E8" s="23"/>
      <c r="F8" s="3" t="s">
        <v>187</v>
      </c>
      <c r="G8" s="30">
        <f>Tsat_p(G7)</f>
        <v>190.0720101494847</v>
      </c>
      <c r="H8" s="5" t="s">
        <v>179</v>
      </c>
      <c r="I8" s="7"/>
    </row>
    <row r="9" spans="1:9" ht="12.75">
      <c r="A9" s="7"/>
      <c r="B9" s="4" t="s">
        <v>152</v>
      </c>
      <c r="C9" s="7"/>
      <c r="D9" s="5"/>
      <c r="F9" s="4" t="s">
        <v>152</v>
      </c>
      <c r="G9" s="7"/>
      <c r="H9" s="5"/>
      <c r="I9" s="7"/>
    </row>
    <row r="10" spans="1:9" ht="12.75">
      <c r="A10" s="7"/>
      <c r="B10" s="3" t="s">
        <v>175</v>
      </c>
      <c r="C10" s="31">
        <f>hL_T(C7)</f>
        <v>419.0991549977031</v>
      </c>
      <c r="D10" s="5" t="s">
        <v>171</v>
      </c>
      <c r="E10" s="23"/>
      <c r="F10" s="3" t="s">
        <v>175</v>
      </c>
      <c r="G10" s="31">
        <f>hL_p(G7)</f>
        <v>807.8871391616061</v>
      </c>
      <c r="H10" s="5" t="s">
        <v>171</v>
      </c>
      <c r="I10" s="7"/>
    </row>
    <row r="11" spans="1:9" ht="12.75">
      <c r="A11" s="7"/>
      <c r="B11" s="3" t="s">
        <v>181</v>
      </c>
      <c r="C11" s="30">
        <f>rhoL_T(C7)</f>
        <v>958.3542772858901</v>
      </c>
      <c r="D11" s="5" t="s">
        <v>177</v>
      </c>
      <c r="E11" s="23"/>
      <c r="F11" s="3" t="s">
        <v>181</v>
      </c>
      <c r="G11" s="30">
        <f>rhoL_P(G7)</f>
        <v>876.003690639728</v>
      </c>
      <c r="H11" s="5" t="s">
        <v>177</v>
      </c>
      <c r="I11" s="7"/>
    </row>
    <row r="12" spans="1:9" ht="12.75">
      <c r="A12" s="7"/>
      <c r="B12" s="3" t="s">
        <v>153</v>
      </c>
      <c r="C12" s="30">
        <f>sL_T(C7)</f>
        <v>1.3070143278413395</v>
      </c>
      <c r="D12" s="5" t="s">
        <v>218</v>
      </c>
      <c r="E12" s="23"/>
      <c r="F12" s="3" t="s">
        <v>153</v>
      </c>
      <c r="G12" s="30">
        <f>sL_p(G7)</f>
        <v>2.2364689876704964</v>
      </c>
      <c r="H12" s="5" t="s">
        <v>218</v>
      </c>
      <c r="I12" s="7"/>
    </row>
    <row r="13" spans="1:9" ht="12.75">
      <c r="A13" s="7"/>
      <c r="B13" s="32" t="s">
        <v>154</v>
      </c>
      <c r="C13" s="7"/>
      <c r="D13" s="5"/>
      <c r="F13" s="32" t="s">
        <v>154</v>
      </c>
      <c r="G13" s="7"/>
      <c r="H13" s="5"/>
      <c r="I13" s="7"/>
    </row>
    <row r="14" spans="1:9" ht="12.75">
      <c r="A14" s="7"/>
      <c r="B14" s="3" t="s">
        <v>155</v>
      </c>
      <c r="C14" s="31">
        <f>hV_T(C7)</f>
        <v>2675.5720292208343</v>
      </c>
      <c r="D14" s="5" t="s">
        <v>171</v>
      </c>
      <c r="E14" s="23"/>
      <c r="F14" s="3" t="s">
        <v>155</v>
      </c>
      <c r="G14" s="31">
        <f>hV_p(G7)</f>
        <v>2785.3645430359766</v>
      </c>
      <c r="H14" s="5" t="s">
        <v>171</v>
      </c>
      <c r="I14" s="7"/>
    </row>
    <row r="15" spans="1:9" ht="12.75">
      <c r="A15" s="7"/>
      <c r="B15" s="3" t="s">
        <v>156</v>
      </c>
      <c r="C15" s="30">
        <f>rhoV_T(C7)</f>
        <v>0.598135992525703</v>
      </c>
      <c r="D15" s="5" t="s">
        <v>177</v>
      </c>
      <c r="E15" s="23"/>
      <c r="F15" s="3" t="s">
        <v>156</v>
      </c>
      <c r="G15" s="30">
        <f>rhoV_p(G7)</f>
        <v>6.404508204942752</v>
      </c>
      <c r="H15" s="5" t="s">
        <v>177</v>
      </c>
      <c r="I15" s="7"/>
    </row>
    <row r="16" spans="1:9" ht="12.75">
      <c r="A16" s="7"/>
      <c r="B16" s="3" t="s">
        <v>157</v>
      </c>
      <c r="C16" s="30">
        <f>sV_T(C7)</f>
        <v>7.354077050958405</v>
      </c>
      <c r="D16" s="5" t="s">
        <v>218</v>
      </c>
      <c r="E16" s="23"/>
      <c r="F16" s="3" t="s">
        <v>158</v>
      </c>
      <c r="G16" s="30">
        <f>sV_p(G7)</f>
        <v>6.505449765074675</v>
      </c>
      <c r="H16" s="5" t="s">
        <v>218</v>
      </c>
      <c r="I16" s="7"/>
    </row>
    <row r="17" spans="1:9" ht="12.75">
      <c r="A17" s="7"/>
      <c r="B17" s="19" t="s">
        <v>159</v>
      </c>
      <c r="C17" s="33">
        <f>C14-C10</f>
        <v>2256.4728742231314</v>
      </c>
      <c r="D17" s="21" t="s">
        <v>171</v>
      </c>
      <c r="E17" s="23"/>
      <c r="F17" s="19" t="s">
        <v>159</v>
      </c>
      <c r="G17" s="33">
        <f>G14-G10</f>
        <v>1977.4774038743703</v>
      </c>
      <c r="H17" s="21" t="s">
        <v>171</v>
      </c>
      <c r="I17" s="7"/>
    </row>
    <row r="18" spans="1:9" ht="12.75">
      <c r="A18" s="7"/>
      <c r="I18" s="7"/>
    </row>
    <row r="19" spans="1:9" ht="12.75">
      <c r="A19" s="7"/>
      <c r="B19" s="28" t="s">
        <v>160</v>
      </c>
      <c r="C19" s="23"/>
      <c r="D19" s="23"/>
      <c r="E19" s="23"/>
      <c r="F19" s="28" t="s">
        <v>161</v>
      </c>
      <c r="G19" s="23"/>
      <c r="H19" s="23"/>
      <c r="I19" s="7"/>
    </row>
    <row r="20" spans="1:9" ht="12.75">
      <c r="A20" s="7"/>
      <c r="B20" s="35" t="s">
        <v>186</v>
      </c>
      <c r="C20" s="36">
        <v>1</v>
      </c>
      <c r="D20" s="37" t="s">
        <v>151</v>
      </c>
      <c r="E20" s="23"/>
      <c r="F20" s="35" t="s">
        <v>186</v>
      </c>
      <c r="G20" s="36">
        <v>12.57</v>
      </c>
      <c r="H20" s="37" t="s">
        <v>151</v>
      </c>
      <c r="I20" s="7"/>
    </row>
    <row r="21" spans="1:9" ht="12.75">
      <c r="A21" s="7"/>
      <c r="B21" s="17" t="s">
        <v>176</v>
      </c>
      <c r="C21" s="38">
        <v>20</v>
      </c>
      <c r="D21" s="18" t="s">
        <v>179</v>
      </c>
      <c r="E21" s="7"/>
      <c r="F21" s="17" t="s">
        <v>175</v>
      </c>
      <c r="G21" s="38">
        <v>2788</v>
      </c>
      <c r="H21" s="18" t="s">
        <v>171</v>
      </c>
      <c r="I21" s="7"/>
    </row>
    <row r="22" spans="1:9" ht="12.75">
      <c r="A22" s="7"/>
      <c r="B22" s="3" t="s">
        <v>175</v>
      </c>
      <c r="C22" s="31">
        <f>h_pt(C20,C21)</f>
        <v>84.01181116713623</v>
      </c>
      <c r="D22" s="5" t="s">
        <v>171</v>
      </c>
      <c r="E22" s="7"/>
      <c r="F22" s="3" t="s">
        <v>176</v>
      </c>
      <c r="G22" s="31">
        <f>T_ph(G20,G21)</f>
        <v>190.99878517007232</v>
      </c>
      <c r="H22" s="5" t="s">
        <v>179</v>
      </c>
      <c r="I22" s="7"/>
    </row>
    <row r="23" spans="1:9" ht="12.75">
      <c r="A23" s="7"/>
      <c r="B23" s="3" t="s">
        <v>181</v>
      </c>
      <c r="C23" s="30">
        <f>rho_pT(C20,C21)</f>
        <v>998.2054863776971</v>
      </c>
      <c r="D23" s="5" t="s">
        <v>177</v>
      </c>
      <c r="E23" s="7"/>
      <c r="F23" s="3" t="s">
        <v>181</v>
      </c>
      <c r="G23" s="30">
        <f>rho_ph(G20,G21)</f>
        <v>6.385541555488601</v>
      </c>
      <c r="H23" s="5" t="s">
        <v>177</v>
      </c>
      <c r="I23" s="7"/>
    </row>
    <row r="24" spans="1:9" ht="12.75">
      <c r="A24" s="7"/>
      <c r="B24" s="3" t="s">
        <v>153</v>
      </c>
      <c r="C24" s="30">
        <f>s_pT(C20,C21)</f>
        <v>0.2964829208064101</v>
      </c>
      <c r="D24" s="5" t="s">
        <v>218</v>
      </c>
      <c r="E24" s="7"/>
      <c r="F24" s="3" t="s">
        <v>153</v>
      </c>
      <c r="G24" s="30">
        <f>s_ph(G20,G21)</f>
        <v>6.5111125817764135</v>
      </c>
      <c r="H24" s="5" t="s">
        <v>218</v>
      </c>
      <c r="I24" s="7"/>
    </row>
    <row r="25" spans="1:9" ht="12.75">
      <c r="A25" s="7"/>
      <c r="B25" s="22" t="s">
        <v>206</v>
      </c>
      <c r="C25">
        <f>x_ph(C20,C22)*100</f>
        <v>0</v>
      </c>
      <c r="D25" s="24" t="s">
        <v>208</v>
      </c>
      <c r="F25" s="22" t="s">
        <v>206</v>
      </c>
      <c r="G25">
        <f>x_ph(G20,G21)*100</f>
        <v>100</v>
      </c>
      <c r="H25" s="24" t="s">
        <v>208</v>
      </c>
      <c r="I25" s="7"/>
    </row>
    <row r="26" spans="1:9" ht="12.75">
      <c r="A26" s="7"/>
      <c r="B26" s="3" t="s">
        <v>162</v>
      </c>
      <c r="C26" s="7">
        <f>region_pt(C20/10,C21+273.15)</f>
        <v>1</v>
      </c>
      <c r="D26" s="5"/>
      <c r="E26" s="7"/>
      <c r="F26" s="3" t="s">
        <v>162</v>
      </c>
      <c r="G26" s="7">
        <f>region_ph(G20/10,G21)</f>
        <v>2</v>
      </c>
      <c r="H26" s="5"/>
      <c r="I26" s="7"/>
    </row>
    <row r="27" spans="1:9" ht="12.75">
      <c r="A27" s="7"/>
      <c r="B27" s="3" t="s">
        <v>163</v>
      </c>
      <c r="C27" s="34" t="str">
        <f>IF(C26=2,"Steam",IF(C26=1,"Liquid",IF(C26=4,"Mixture","")))</f>
        <v>Liquid</v>
      </c>
      <c r="D27" s="5"/>
      <c r="E27" s="7"/>
      <c r="F27" s="3" t="s">
        <v>163</v>
      </c>
      <c r="G27" s="34" t="str">
        <f>IF(G26=2,"Steam",IF(G26=1,"Liquid",IF(G26=4,"Mixture","")))</f>
        <v>Steam</v>
      </c>
      <c r="H27" s="5"/>
      <c r="I27" s="7"/>
    </row>
    <row r="28" spans="2:8" ht="12.75">
      <c r="B28" s="3" t="s">
        <v>164</v>
      </c>
      <c r="C28" s="7">
        <f>Cp_pT(C20,C21)</f>
        <v>4.18479822130853</v>
      </c>
      <c r="D28" s="5" t="s">
        <v>171</v>
      </c>
      <c r="F28" s="3" t="s">
        <v>164</v>
      </c>
      <c r="G28" s="7">
        <f>Cp_ph(G20,G21)</f>
        <v>2.819479422450438</v>
      </c>
      <c r="H28" s="5" t="s">
        <v>171</v>
      </c>
    </row>
    <row r="29" spans="2:8" ht="12.75">
      <c r="B29" s="19" t="s">
        <v>165</v>
      </c>
      <c r="C29" s="20">
        <f>w_pT(C20,C21)</f>
        <v>1483.4167663120188</v>
      </c>
      <c r="D29" s="21" t="s">
        <v>174</v>
      </c>
      <c r="F29" s="19" t="s">
        <v>165</v>
      </c>
      <c r="G29" s="20">
        <f>w_ph(G20,G21)</f>
        <v>503.55121714205853</v>
      </c>
      <c r="H29" s="21" t="s">
        <v>174</v>
      </c>
    </row>
  </sheetData>
  <sheetProtection/>
  <hyperlinks>
    <hyperlink ref="B4" r:id="rId1" display="www.x-eng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outlinePr summaryBelow="0"/>
  </sheetPr>
  <dimension ref="A1:M150"/>
  <sheetViews>
    <sheetView zoomScalePageLayoutView="0" workbookViewId="0" topLeftCell="A1">
      <selection activeCell="F9" sqref="F9"/>
    </sheetView>
  </sheetViews>
  <sheetFormatPr defaultColWidth="9.140625" defaultRowHeight="12.75" outlineLevelRow="1"/>
  <cols>
    <col min="1" max="1" width="24.140625" style="0" customWidth="1"/>
    <col min="2" max="2" width="4.7109375" style="0" customWidth="1"/>
    <col min="3" max="3" width="7.7109375" style="0" customWidth="1"/>
    <col min="4" max="4" width="4.7109375" style="0" customWidth="1"/>
    <col min="5" max="5" width="8.28125" style="0" customWidth="1"/>
    <col min="6" max="6" width="10.421875" style="1" bestFit="1" customWidth="1"/>
    <col min="7" max="7" width="9.140625" style="1" customWidth="1"/>
    <col min="8" max="8" width="7.57421875" style="2" customWidth="1"/>
  </cols>
  <sheetData>
    <row r="1" spans="1:7" s="14" customFormat="1" ht="18">
      <c r="A1" s="6" t="s">
        <v>219</v>
      </c>
      <c r="D1" s="2" t="s">
        <v>0</v>
      </c>
      <c r="E1" s="15" t="s">
        <v>220</v>
      </c>
      <c r="F1" s="6"/>
      <c r="G1" s="6"/>
    </row>
    <row r="2" s="11" customFormat="1" ht="11.25">
      <c r="A2" s="11" t="s">
        <v>221</v>
      </c>
    </row>
    <row r="3" s="9" customFormat="1" ht="11.25">
      <c r="A3" s="9" t="s">
        <v>142</v>
      </c>
    </row>
    <row r="4" spans="1:6" s="9" customFormat="1" ht="11.25">
      <c r="A4" s="9" t="s">
        <v>143</v>
      </c>
      <c r="F4" s="16" t="s">
        <v>223</v>
      </c>
    </row>
    <row r="5" s="9" customFormat="1" ht="11.25">
      <c r="A5" s="9" t="s">
        <v>217</v>
      </c>
    </row>
    <row r="6" spans="1:7" ht="12.75">
      <c r="A6" s="11" t="s">
        <v>211</v>
      </c>
      <c r="B6" s="2"/>
      <c r="C6" s="2"/>
      <c r="D6" s="2"/>
      <c r="E6" s="2"/>
      <c r="F6" s="2"/>
      <c r="G6" s="2"/>
    </row>
    <row r="7" spans="1:7" ht="12.75">
      <c r="A7" s="11"/>
      <c r="B7" s="2"/>
      <c r="C7" s="2"/>
      <c r="D7" s="2"/>
      <c r="E7" s="2"/>
      <c r="F7" s="2"/>
      <c r="G7" s="2"/>
    </row>
    <row r="8" spans="1:7" s="13" customFormat="1" ht="15">
      <c r="A8" s="25" t="s">
        <v>176</v>
      </c>
      <c r="F8" s="12"/>
      <c r="G8" s="12"/>
    </row>
    <row r="9" spans="1:8" s="9" customFormat="1" ht="12.75" outlineLevel="1">
      <c r="A9" s="1" t="s">
        <v>26</v>
      </c>
      <c r="B9" s="2">
        <v>1</v>
      </c>
      <c r="C9" s="2" t="s">
        <v>178</v>
      </c>
      <c r="D9" s="2"/>
      <c r="E9" s="2"/>
      <c r="F9" s="1">
        <f>Tsat_p(B9)</f>
        <v>99.60591861133764</v>
      </c>
      <c r="G9" s="1" t="s">
        <v>179</v>
      </c>
      <c r="H9" s="2" t="s">
        <v>187</v>
      </c>
    </row>
    <row r="10" spans="1:8" s="9" customFormat="1" ht="12.75" outlineLevel="1">
      <c r="A10" s="1" t="s">
        <v>25</v>
      </c>
      <c r="B10" s="2">
        <v>1</v>
      </c>
      <c r="C10" s="2" t="s">
        <v>178</v>
      </c>
      <c r="D10" s="2">
        <v>100</v>
      </c>
      <c r="E10" s="2" t="s">
        <v>171</v>
      </c>
      <c r="F10" s="1">
        <f>T_ph(B10,D10)</f>
        <v>23.844819075324835</v>
      </c>
      <c r="G10" s="1" t="s">
        <v>179</v>
      </c>
      <c r="H10" s="2" t="s">
        <v>212</v>
      </c>
    </row>
    <row r="11" spans="1:8" s="9" customFormat="1" ht="12.75" outlineLevel="1">
      <c r="A11" s="1" t="s">
        <v>27</v>
      </c>
      <c r="B11" s="2">
        <v>1</v>
      </c>
      <c r="C11" s="2" t="s">
        <v>178</v>
      </c>
      <c r="D11" s="2">
        <v>1</v>
      </c>
      <c r="E11" s="2" t="s">
        <v>173</v>
      </c>
      <c r="F11" s="1">
        <f>T_ps(B11,D11)</f>
        <v>73.70859421440866</v>
      </c>
      <c r="G11" s="1" t="s">
        <v>179</v>
      </c>
      <c r="H11" s="2" t="s">
        <v>213</v>
      </c>
    </row>
    <row r="12" spans="1:8" s="9" customFormat="1" ht="12.75" outlineLevel="1">
      <c r="A12" s="1" t="s">
        <v>24</v>
      </c>
      <c r="B12" s="2">
        <v>100</v>
      </c>
      <c r="C12" s="2" t="s">
        <v>171</v>
      </c>
      <c r="D12" s="2">
        <v>0.2</v>
      </c>
      <c r="E12" s="2" t="s">
        <v>173</v>
      </c>
      <c r="F12" s="1">
        <f>T_hs(B12,D12)</f>
        <v>13.849335111872563</v>
      </c>
      <c r="G12" s="1" t="s">
        <v>179</v>
      </c>
      <c r="H12" s="2" t="s">
        <v>227</v>
      </c>
    </row>
    <row r="13" spans="1:7" s="13" customFormat="1" ht="15">
      <c r="A13" s="25" t="s">
        <v>186</v>
      </c>
      <c r="F13" s="12"/>
      <c r="G13" s="12"/>
    </row>
    <row r="14" spans="1:8" s="9" customFormat="1" ht="12.75" outlineLevel="1">
      <c r="A14" s="1" t="s">
        <v>23</v>
      </c>
      <c r="B14" s="2">
        <v>100</v>
      </c>
      <c r="C14" s="2" t="s">
        <v>179</v>
      </c>
      <c r="D14" s="2"/>
      <c r="E14" s="2"/>
      <c r="F14" s="1">
        <f>psat_t(B14)</f>
        <v>1.0141797792131015</v>
      </c>
      <c r="G14" s="1" t="s">
        <v>178</v>
      </c>
      <c r="H14" s="2" t="s">
        <v>188</v>
      </c>
    </row>
    <row r="15" spans="1:8" s="9" customFormat="1" ht="12.75" outlineLevel="1">
      <c r="A15" s="1" t="s">
        <v>22</v>
      </c>
      <c r="B15" s="2">
        <v>84</v>
      </c>
      <c r="C15" s="2" t="s">
        <v>171</v>
      </c>
      <c r="D15" s="2">
        <v>0.296</v>
      </c>
      <c r="E15" s="2" t="s">
        <v>173</v>
      </c>
      <c r="F15" s="1">
        <f>p_hs(B15,D15)</f>
        <v>2.295498269280914</v>
      </c>
      <c r="G15" s="1" t="s">
        <v>178</v>
      </c>
      <c r="H15" s="2" t="s">
        <v>222</v>
      </c>
    </row>
    <row r="16" spans="1:8" s="9" customFormat="1" ht="12.75" outlineLevel="1">
      <c r="A16" s="1" t="s">
        <v>21</v>
      </c>
      <c r="B16" s="2">
        <v>2000</v>
      </c>
      <c r="C16" s="2" t="s">
        <v>171</v>
      </c>
      <c r="D16" s="2">
        <v>5</v>
      </c>
      <c r="E16" s="2" t="s">
        <v>177</v>
      </c>
      <c r="F16" s="1">
        <f>p_hrho(B16,D16)</f>
        <v>6.0464690304783115</v>
      </c>
      <c r="G16" s="1" t="s">
        <v>178</v>
      </c>
      <c r="H16" s="2" t="s">
        <v>3</v>
      </c>
    </row>
    <row r="17" spans="1:7" s="13" customFormat="1" ht="15">
      <c r="A17" s="25" t="s">
        <v>175</v>
      </c>
      <c r="F17" s="12"/>
      <c r="G17" s="12"/>
    </row>
    <row r="18" spans="1:8" s="9" customFormat="1" ht="12.75" outlineLevel="1">
      <c r="A18" s="1" t="s">
        <v>28</v>
      </c>
      <c r="B18" s="2">
        <v>1</v>
      </c>
      <c r="C18" s="2" t="s">
        <v>178</v>
      </c>
      <c r="D18" s="2"/>
      <c r="E18" s="2"/>
      <c r="F18" s="1">
        <f>hV_p(B18)</f>
        <v>2674.949640832146</v>
      </c>
      <c r="G18" s="1" t="s">
        <v>171</v>
      </c>
      <c r="H18" s="2" t="s">
        <v>190</v>
      </c>
    </row>
    <row r="19" spans="1:8" s="9" customFormat="1" ht="12.75" outlineLevel="1">
      <c r="A19" s="1" t="s">
        <v>29</v>
      </c>
      <c r="B19" s="2">
        <v>1</v>
      </c>
      <c r="C19" s="2" t="s">
        <v>178</v>
      </c>
      <c r="D19" s="2"/>
      <c r="E19" s="2"/>
      <c r="F19" s="1">
        <f>hL_p(B19)</f>
        <v>417.4364858162317</v>
      </c>
      <c r="G19" s="1" t="s">
        <v>171</v>
      </c>
      <c r="H19" s="2" t="s">
        <v>195</v>
      </c>
    </row>
    <row r="20" spans="1:8" s="9" customFormat="1" ht="12.75" outlineLevel="1">
      <c r="A20" s="1" t="s">
        <v>30</v>
      </c>
      <c r="B20" s="2">
        <v>100</v>
      </c>
      <c r="C20" s="2" t="s">
        <v>179</v>
      </c>
      <c r="D20" s="2"/>
      <c r="E20" s="2"/>
      <c r="F20" s="1">
        <f>hV_T(B20)</f>
        <v>2675.5720292208343</v>
      </c>
      <c r="G20" s="1" t="s">
        <v>171</v>
      </c>
      <c r="H20" s="2" t="s">
        <v>190</v>
      </c>
    </row>
    <row r="21" spans="1:8" s="9" customFormat="1" ht="12.75" outlineLevel="1">
      <c r="A21" s="1" t="s">
        <v>31</v>
      </c>
      <c r="B21" s="2">
        <v>100</v>
      </c>
      <c r="C21" s="2" t="s">
        <v>179</v>
      </c>
      <c r="D21" s="2"/>
      <c r="E21" s="2"/>
      <c r="F21" s="1">
        <f>hL_T(B21)</f>
        <v>419.0991549977031</v>
      </c>
      <c r="G21" s="1" t="s">
        <v>171</v>
      </c>
      <c r="H21" s="2" t="s">
        <v>195</v>
      </c>
    </row>
    <row r="22" spans="1:8" s="9" customFormat="1" ht="12.75" outlineLevel="1">
      <c r="A22" s="1" t="s">
        <v>32</v>
      </c>
      <c r="B22" s="2">
        <v>1</v>
      </c>
      <c r="C22" s="2" t="s">
        <v>178</v>
      </c>
      <c r="D22" s="2">
        <v>20</v>
      </c>
      <c r="E22" s="2" t="s">
        <v>179</v>
      </c>
      <c r="F22" s="1">
        <f>h_pt(B22,D22)</f>
        <v>84.01181116713623</v>
      </c>
      <c r="G22" s="1" t="s">
        <v>171</v>
      </c>
      <c r="H22" s="2" t="s">
        <v>214</v>
      </c>
    </row>
    <row r="23" spans="1:8" s="9" customFormat="1" ht="12.75" outlineLevel="1">
      <c r="A23" s="1" t="s">
        <v>33</v>
      </c>
      <c r="B23" s="2">
        <v>1</v>
      </c>
      <c r="C23" s="2" t="s">
        <v>178</v>
      </c>
      <c r="D23" s="2">
        <v>1</v>
      </c>
      <c r="E23" s="2" t="s">
        <v>173</v>
      </c>
      <c r="F23" s="1">
        <f>h_ps(B23,D23)</f>
        <v>308.61071708294634</v>
      </c>
      <c r="G23" s="1" t="s">
        <v>171</v>
      </c>
      <c r="H23" s="2" t="s">
        <v>215</v>
      </c>
    </row>
    <row r="24" spans="1:8" s="9" customFormat="1" ht="12.75" outlineLevel="1">
      <c r="A24" s="1" t="s">
        <v>34</v>
      </c>
      <c r="B24" s="2">
        <v>1</v>
      </c>
      <c r="C24" s="2" t="s">
        <v>178</v>
      </c>
      <c r="D24" s="2">
        <v>0.5</v>
      </c>
      <c r="E24" s="2"/>
      <c r="F24" s="1">
        <f>h_px(B24,D24)</f>
        <v>1546.1930633241889</v>
      </c>
      <c r="G24" s="1" t="s">
        <v>171</v>
      </c>
      <c r="H24" s="2" t="s">
        <v>225</v>
      </c>
    </row>
    <row r="25" spans="1:8" s="9" customFormat="1" ht="12.75" outlineLevel="1">
      <c r="A25" s="1" t="s">
        <v>35</v>
      </c>
      <c r="B25" s="2">
        <v>100</v>
      </c>
      <c r="C25" s="2" t="s">
        <v>179</v>
      </c>
      <c r="D25" s="2">
        <v>0.5</v>
      </c>
      <c r="E25" s="2"/>
      <c r="F25" s="1">
        <f>h_tx(B25,D25)</f>
        <v>1547.3355921092686</v>
      </c>
      <c r="G25" s="1" t="s">
        <v>171</v>
      </c>
      <c r="H25" s="2" t="s">
        <v>226</v>
      </c>
    </row>
    <row r="26" spans="1:8" s="9" customFormat="1" ht="12.75" outlineLevel="1">
      <c r="A26" s="1" t="s">
        <v>36</v>
      </c>
      <c r="B26" s="2">
        <v>1</v>
      </c>
      <c r="C26" s="2" t="s">
        <v>178</v>
      </c>
      <c r="D26" s="2">
        <v>2</v>
      </c>
      <c r="E26" s="2" t="s">
        <v>177</v>
      </c>
      <c r="F26" s="1">
        <f>h_prho(B26,D26)</f>
        <v>1082.7733907600204</v>
      </c>
      <c r="G26" s="1" t="s">
        <v>171</v>
      </c>
      <c r="H26" s="2" t="s">
        <v>144</v>
      </c>
    </row>
    <row r="27" spans="1:7" s="13" customFormat="1" ht="15">
      <c r="A27" s="25" t="s">
        <v>189</v>
      </c>
      <c r="F27" s="12"/>
      <c r="G27" s="12"/>
    </row>
    <row r="28" spans="1:8" s="9" customFormat="1" ht="12.75" outlineLevel="1">
      <c r="A28" s="1" t="s">
        <v>37</v>
      </c>
      <c r="B28" s="2">
        <v>1</v>
      </c>
      <c r="C28" s="2" t="s">
        <v>178</v>
      </c>
      <c r="D28" s="2"/>
      <c r="E28" s="2"/>
      <c r="F28" s="1">
        <f>vV_p(B28)</f>
        <v>1.6940225229026846</v>
      </c>
      <c r="G28" s="1" t="s">
        <v>172</v>
      </c>
      <c r="H28" s="2" t="s">
        <v>191</v>
      </c>
    </row>
    <row r="29" spans="1:8" s="9" customFormat="1" ht="12.75" outlineLevel="1">
      <c r="A29" s="1" t="s">
        <v>38</v>
      </c>
      <c r="B29" s="2">
        <v>1</v>
      </c>
      <c r="C29" s="2" t="s">
        <v>178</v>
      </c>
      <c r="D29" s="2"/>
      <c r="E29" s="2"/>
      <c r="F29" s="1">
        <f>vL_p(B29)</f>
        <v>0.0010431478391551838</v>
      </c>
      <c r="G29" s="1" t="s">
        <v>172</v>
      </c>
      <c r="H29" s="2" t="s">
        <v>196</v>
      </c>
    </row>
    <row r="30" spans="1:8" s="9" customFormat="1" ht="12.75" outlineLevel="1">
      <c r="A30" s="1" t="s">
        <v>39</v>
      </c>
      <c r="B30" s="2">
        <v>100</v>
      </c>
      <c r="C30" s="2" t="s">
        <v>179</v>
      </c>
      <c r="D30" s="2"/>
      <c r="E30" s="2"/>
      <c r="F30" s="1">
        <f>vV_T(B30)</f>
        <v>1.6718606010940364</v>
      </c>
      <c r="G30" s="1" t="s">
        <v>172</v>
      </c>
      <c r="H30" s="2" t="s">
        <v>191</v>
      </c>
    </row>
    <row r="31" spans="1:8" s="9" customFormat="1" ht="12.75" outlineLevel="1">
      <c r="A31" s="1" t="s">
        <v>40</v>
      </c>
      <c r="B31" s="2">
        <v>100</v>
      </c>
      <c r="C31" s="2" t="s">
        <v>179</v>
      </c>
      <c r="D31" s="2"/>
      <c r="E31" s="2"/>
      <c r="F31" s="1">
        <f>vL_T(B31)</f>
        <v>0.001043455456610527</v>
      </c>
      <c r="G31" s="1" t="s">
        <v>172</v>
      </c>
      <c r="H31" s="2" t="s">
        <v>196</v>
      </c>
    </row>
    <row r="32" spans="1:8" s="9" customFormat="1" ht="12.75" outlineLevel="1">
      <c r="A32" s="1" t="s">
        <v>41</v>
      </c>
      <c r="B32" s="2">
        <v>1</v>
      </c>
      <c r="C32" s="2" t="s">
        <v>178</v>
      </c>
      <c r="D32" s="2">
        <v>100</v>
      </c>
      <c r="E32" s="2" t="s">
        <v>179</v>
      </c>
      <c r="F32" s="1">
        <f>v_pT(B32,D32)</f>
        <v>1.6959594073982218</v>
      </c>
      <c r="G32" s="1" t="s">
        <v>172</v>
      </c>
      <c r="H32" s="2" t="s">
        <v>228</v>
      </c>
    </row>
    <row r="33" spans="1:8" s="9" customFormat="1" ht="12.75" outlineLevel="1">
      <c r="A33" s="1" t="s">
        <v>42</v>
      </c>
      <c r="B33" s="2">
        <v>1</v>
      </c>
      <c r="C33" s="2" t="s">
        <v>178</v>
      </c>
      <c r="D33" s="2">
        <v>1000</v>
      </c>
      <c r="E33" s="2" t="s">
        <v>171</v>
      </c>
      <c r="F33" s="1">
        <f>v_ph(B33,D33)</f>
        <v>0.43792565812986356</v>
      </c>
      <c r="G33" s="1" t="s">
        <v>172</v>
      </c>
      <c r="H33" s="2" t="s">
        <v>229</v>
      </c>
    </row>
    <row r="34" spans="1:8" s="9" customFormat="1" ht="12.75" outlineLevel="1">
      <c r="A34" s="1" t="s">
        <v>43</v>
      </c>
      <c r="B34" s="2">
        <v>1</v>
      </c>
      <c r="C34" s="2" t="s">
        <v>178</v>
      </c>
      <c r="D34" s="2">
        <v>5</v>
      </c>
      <c r="E34" s="2" t="s">
        <v>173</v>
      </c>
      <c r="F34" s="1">
        <f>v_ps(B34,D34)</f>
        <v>1.034635390186288</v>
      </c>
      <c r="G34" s="1" t="s">
        <v>172</v>
      </c>
      <c r="H34" s="2" t="s">
        <v>230</v>
      </c>
    </row>
    <row r="35" spans="1:7" s="13" customFormat="1" ht="15">
      <c r="A35" s="25" t="s">
        <v>181</v>
      </c>
      <c r="F35" s="12"/>
      <c r="G35" s="12"/>
    </row>
    <row r="36" spans="1:8" s="9" customFormat="1" ht="12.75" outlineLevel="1">
      <c r="A36" s="1" t="s">
        <v>44</v>
      </c>
      <c r="B36" s="2">
        <v>1</v>
      </c>
      <c r="C36" s="2" t="s">
        <v>178</v>
      </c>
      <c r="D36" s="2"/>
      <c r="E36" s="2"/>
      <c r="F36" s="1">
        <f>rhoV_p(B36)</f>
        <v>0.5903109235445781</v>
      </c>
      <c r="G36" s="1" t="s">
        <v>177</v>
      </c>
      <c r="H36" s="2" t="s">
        <v>192</v>
      </c>
    </row>
    <row r="37" spans="1:8" s="9" customFormat="1" ht="12.75" outlineLevel="1">
      <c r="A37" s="1" t="s">
        <v>45</v>
      </c>
      <c r="B37" s="2">
        <v>1</v>
      </c>
      <c r="C37" s="2" t="s">
        <v>178</v>
      </c>
      <c r="D37" s="2"/>
      <c r="E37" s="2"/>
      <c r="F37" s="1">
        <f>rhoL_P(B37)</f>
        <v>958.6368896760329</v>
      </c>
      <c r="G37" s="1" t="s">
        <v>177</v>
      </c>
      <c r="H37" s="2" t="s">
        <v>197</v>
      </c>
    </row>
    <row r="38" spans="1:8" s="9" customFormat="1" ht="12.75" outlineLevel="1">
      <c r="A38" s="1" t="s">
        <v>46</v>
      </c>
      <c r="B38" s="2">
        <v>100</v>
      </c>
      <c r="C38" s="2" t="s">
        <v>179</v>
      </c>
      <c r="D38" s="2"/>
      <c r="E38" s="2"/>
      <c r="F38" s="1">
        <f>rhoV_T(B38)</f>
        <v>0.598135992525703</v>
      </c>
      <c r="G38" s="1" t="s">
        <v>177</v>
      </c>
      <c r="H38" s="2" t="s">
        <v>192</v>
      </c>
    </row>
    <row r="39" spans="1:8" s="9" customFormat="1" ht="12.75" outlineLevel="1">
      <c r="A39" s="1" t="s">
        <v>47</v>
      </c>
      <c r="B39" s="2">
        <v>100</v>
      </c>
      <c r="C39" s="2" t="s">
        <v>179</v>
      </c>
      <c r="D39" s="2"/>
      <c r="E39" s="2"/>
      <c r="F39" s="1">
        <f>rhoL_T(B39)</f>
        <v>958.3542772858901</v>
      </c>
      <c r="G39" s="1" t="s">
        <v>177</v>
      </c>
      <c r="H39" s="2" t="s">
        <v>197</v>
      </c>
    </row>
    <row r="40" spans="1:8" s="9" customFormat="1" ht="12.75" outlineLevel="1">
      <c r="A40" s="1" t="s">
        <v>48</v>
      </c>
      <c r="B40" s="2">
        <v>1</v>
      </c>
      <c r="C40" s="2" t="s">
        <v>178</v>
      </c>
      <c r="D40" s="2">
        <v>100</v>
      </c>
      <c r="E40" s="2" t="s">
        <v>179</v>
      </c>
      <c r="F40" s="1">
        <f>rho_pT(B40,D40)</f>
        <v>0.5896367540624714</v>
      </c>
      <c r="G40" s="1" t="s">
        <v>177</v>
      </c>
      <c r="H40" s="2" t="s">
        <v>231</v>
      </c>
    </row>
    <row r="41" spans="1:8" s="9" customFormat="1" ht="12.75" outlineLevel="1">
      <c r="A41" s="1" t="s">
        <v>49</v>
      </c>
      <c r="B41" s="2">
        <v>1</v>
      </c>
      <c r="C41" s="2" t="s">
        <v>178</v>
      </c>
      <c r="D41" s="2">
        <v>1000</v>
      </c>
      <c r="E41" s="2" t="s">
        <v>171</v>
      </c>
      <c r="F41" s="1">
        <f>rho_ph(B41,D41)</f>
        <v>2.283492600708629</v>
      </c>
      <c r="G41" s="1" t="s">
        <v>177</v>
      </c>
      <c r="H41" s="2" t="s">
        <v>232</v>
      </c>
    </row>
    <row r="42" spans="1:8" s="9" customFormat="1" ht="12.75" outlineLevel="1">
      <c r="A42" s="1" t="s">
        <v>50</v>
      </c>
      <c r="B42" s="2">
        <v>1</v>
      </c>
      <c r="C42" s="2" t="s">
        <v>178</v>
      </c>
      <c r="D42" s="2">
        <v>1</v>
      </c>
      <c r="E42" s="2" t="s">
        <v>173</v>
      </c>
      <c r="F42" s="1">
        <f>rho_ps(B42,D42)</f>
        <v>975.6236788482324</v>
      </c>
      <c r="G42" s="1" t="s">
        <v>177</v>
      </c>
      <c r="H42" s="2" t="s">
        <v>233</v>
      </c>
    </row>
    <row r="43" spans="1:7" s="13" customFormat="1" ht="15">
      <c r="A43" s="25" t="s">
        <v>180</v>
      </c>
      <c r="F43" s="12"/>
      <c r="G43" s="12"/>
    </row>
    <row r="44" spans="1:8" s="9" customFormat="1" ht="12.75" outlineLevel="1">
      <c r="A44" s="1" t="s">
        <v>51</v>
      </c>
      <c r="B44" s="2">
        <v>0.006117</v>
      </c>
      <c r="C44" s="2" t="s">
        <v>178</v>
      </c>
      <c r="D44" s="2"/>
      <c r="E44" s="2"/>
      <c r="F44" s="1">
        <f>sV_p(B44)</f>
        <v>9.155465555713246</v>
      </c>
      <c r="G44" s="1" t="s">
        <v>173</v>
      </c>
      <c r="H44" s="2" t="s">
        <v>193</v>
      </c>
    </row>
    <row r="45" spans="1:8" s="9" customFormat="1" ht="12.75" outlineLevel="1">
      <c r="A45" s="1" t="s">
        <v>52</v>
      </c>
      <c r="B45" s="2">
        <v>0.0061171</v>
      </c>
      <c r="C45" s="2" t="s">
        <v>178</v>
      </c>
      <c r="D45" s="2"/>
      <c r="E45" s="2"/>
      <c r="F45" s="1">
        <f>sL_p(B45)</f>
        <v>1.835902511963256E-05</v>
      </c>
      <c r="G45" s="1" t="s">
        <v>173</v>
      </c>
      <c r="H45" s="2" t="s">
        <v>198</v>
      </c>
    </row>
    <row r="46" spans="1:8" s="9" customFormat="1" ht="12.75" outlineLevel="1">
      <c r="A46" s="1" t="s">
        <v>53</v>
      </c>
      <c r="B46" s="2">
        <v>0.0001</v>
      </c>
      <c r="C46" s="2" t="s">
        <v>179</v>
      </c>
      <c r="D46" s="2"/>
      <c r="E46" s="2"/>
      <c r="F46" s="1">
        <f>sV_T(B46)</f>
        <v>9.155756715885586</v>
      </c>
      <c r="G46" s="1" t="s">
        <v>173</v>
      </c>
      <c r="H46" s="2" t="s">
        <v>193</v>
      </c>
    </row>
    <row r="47" spans="1:8" s="9" customFormat="1" ht="12.75" outlineLevel="1">
      <c r="A47" s="1" t="s">
        <v>54</v>
      </c>
      <c r="B47" s="2">
        <v>100</v>
      </c>
      <c r="C47" s="2" t="s">
        <v>179</v>
      </c>
      <c r="D47" s="2"/>
      <c r="E47" s="2"/>
      <c r="F47" s="1">
        <f>sL_T(B47)</f>
        <v>1.3070143278413395</v>
      </c>
      <c r="G47" s="1" t="s">
        <v>173</v>
      </c>
      <c r="H47" s="2" t="s">
        <v>198</v>
      </c>
    </row>
    <row r="48" spans="1:8" s="9" customFormat="1" ht="12.75" outlineLevel="1">
      <c r="A48" s="1" t="s">
        <v>55</v>
      </c>
      <c r="B48" s="2">
        <v>1</v>
      </c>
      <c r="C48" s="2" t="s">
        <v>178</v>
      </c>
      <c r="D48" s="2">
        <v>20</v>
      </c>
      <c r="E48" s="2" t="s">
        <v>179</v>
      </c>
      <c r="F48" s="1">
        <f>s_pT(B48,D48)</f>
        <v>0.2964829208064101</v>
      </c>
      <c r="G48" s="1" t="s">
        <v>173</v>
      </c>
      <c r="H48" s="2" t="s">
        <v>128</v>
      </c>
    </row>
    <row r="49" spans="1:8" s="9" customFormat="1" ht="12.75" outlineLevel="1">
      <c r="A49" s="1" t="s">
        <v>56</v>
      </c>
      <c r="B49" s="2">
        <v>1</v>
      </c>
      <c r="C49" s="2" t="s">
        <v>178</v>
      </c>
      <c r="D49" s="2">
        <f>F22</f>
        <v>84.01181116713623</v>
      </c>
      <c r="E49" s="2" t="s">
        <v>171</v>
      </c>
      <c r="F49" s="1">
        <f>s_ph(B49,D49)</f>
        <v>0.2968138446764294</v>
      </c>
      <c r="G49" s="1" t="s">
        <v>173</v>
      </c>
      <c r="H49" s="2" t="s">
        <v>234</v>
      </c>
    </row>
    <row r="50" spans="1:7" s="13" customFormat="1" ht="15">
      <c r="A50" s="25" t="s">
        <v>182</v>
      </c>
      <c r="F50" s="12"/>
      <c r="G50" s="12"/>
    </row>
    <row r="51" spans="1:8" s="9" customFormat="1" ht="12.75" outlineLevel="1">
      <c r="A51" s="1" t="s">
        <v>57</v>
      </c>
      <c r="B51" s="2">
        <v>1</v>
      </c>
      <c r="C51" s="2" t="s">
        <v>178</v>
      </c>
      <c r="D51" s="2"/>
      <c r="E51" s="2"/>
      <c r="F51" s="1">
        <f>uV_p(B51)</f>
        <v>2505.547388541878</v>
      </c>
      <c r="G51" s="1" t="s">
        <v>171</v>
      </c>
      <c r="H51" s="2" t="s">
        <v>194</v>
      </c>
    </row>
    <row r="52" spans="1:8" s="9" customFormat="1" ht="12.75" outlineLevel="1">
      <c r="A52" s="1" t="s">
        <v>58</v>
      </c>
      <c r="B52" s="2">
        <v>1</v>
      </c>
      <c r="C52" s="2" t="s">
        <v>178</v>
      </c>
      <c r="D52" s="2"/>
      <c r="E52" s="2"/>
      <c r="F52" s="1">
        <f>uL_p(B52)</f>
        <v>417.3321710323162</v>
      </c>
      <c r="G52" s="1" t="s">
        <v>171</v>
      </c>
      <c r="H52" s="2" t="s">
        <v>199</v>
      </c>
    </row>
    <row r="53" spans="1:8" s="9" customFormat="1" ht="12.75" outlineLevel="1">
      <c r="A53" s="1" t="s">
        <v>59</v>
      </c>
      <c r="B53" s="2">
        <v>100</v>
      </c>
      <c r="C53" s="2" t="s">
        <v>179</v>
      </c>
      <c r="D53" s="2"/>
      <c r="E53" s="2"/>
      <c r="F53" s="1">
        <f>uV_T(B53)</f>
        <v>2506.015307691571</v>
      </c>
      <c r="G53" s="1" t="s">
        <v>171</v>
      </c>
      <c r="H53" s="2" t="s">
        <v>194</v>
      </c>
    </row>
    <row r="54" spans="1:8" s="9" customFormat="1" ht="12.75" outlineLevel="1">
      <c r="A54" s="1" t="s">
        <v>60</v>
      </c>
      <c r="B54" s="2">
        <v>100</v>
      </c>
      <c r="C54" s="2" t="s">
        <v>179</v>
      </c>
      <c r="D54" s="2"/>
      <c r="E54" s="2"/>
      <c r="F54" s="1">
        <f>uL_T(B54)</f>
        <v>418.9933298552427</v>
      </c>
      <c r="G54" s="1" t="s">
        <v>171</v>
      </c>
      <c r="H54" s="2" t="s">
        <v>199</v>
      </c>
    </row>
    <row r="55" spans="1:8" s="9" customFormat="1" ht="12.75" outlineLevel="1">
      <c r="A55" s="1" t="s">
        <v>61</v>
      </c>
      <c r="B55" s="2">
        <v>1</v>
      </c>
      <c r="C55" s="2" t="s">
        <v>178</v>
      </c>
      <c r="D55" s="2">
        <v>100</v>
      </c>
      <c r="E55" s="2" t="s">
        <v>179</v>
      </c>
      <c r="F55" s="1">
        <f>u_pT(B55,D55)</f>
        <v>2506.1714264660072</v>
      </c>
      <c r="G55" s="1" t="s">
        <v>171</v>
      </c>
      <c r="H55" s="2" t="s">
        <v>235</v>
      </c>
    </row>
    <row r="56" spans="1:8" s="9" customFormat="1" ht="12.75" outlineLevel="1">
      <c r="A56" s="1" t="s">
        <v>62</v>
      </c>
      <c r="B56" s="2">
        <v>1</v>
      </c>
      <c r="C56" s="2" t="s">
        <v>178</v>
      </c>
      <c r="D56" s="2">
        <v>1000</v>
      </c>
      <c r="E56" s="2" t="s">
        <v>171</v>
      </c>
      <c r="F56" s="1">
        <f>u_ph(B56,D56)</f>
        <v>956.2074341870137</v>
      </c>
      <c r="G56" s="1" t="s">
        <v>171</v>
      </c>
      <c r="H56" s="2" t="s">
        <v>236</v>
      </c>
    </row>
    <row r="57" spans="1:8" s="9" customFormat="1" ht="12.75" outlineLevel="1">
      <c r="A57" s="1" t="s">
        <v>63</v>
      </c>
      <c r="B57" s="2">
        <v>1</v>
      </c>
      <c r="C57" s="2" t="s">
        <v>178</v>
      </c>
      <c r="D57" s="2">
        <v>1</v>
      </c>
      <c r="E57" s="2" t="s">
        <v>173</v>
      </c>
      <c r="F57" s="1">
        <f>u_ps(B57,D57)</f>
        <v>308.50821854568443</v>
      </c>
      <c r="G57" s="1" t="s">
        <v>171</v>
      </c>
      <c r="H57" s="2" t="s">
        <v>237</v>
      </c>
    </row>
    <row r="58" spans="1:7" s="13" customFormat="1" ht="15">
      <c r="A58" s="25" t="s">
        <v>183</v>
      </c>
      <c r="F58" s="12"/>
      <c r="G58" s="12"/>
    </row>
    <row r="59" spans="1:8" s="9" customFormat="1" ht="12.75" outlineLevel="1">
      <c r="A59" s="1" t="s">
        <v>64</v>
      </c>
      <c r="B59" s="2">
        <v>1</v>
      </c>
      <c r="C59" s="2" t="s">
        <v>178</v>
      </c>
      <c r="D59" s="2"/>
      <c r="E59" s="2"/>
      <c r="F59" s="1">
        <f>CpV_p(B59)</f>
        <v>2.0759380252044393</v>
      </c>
      <c r="G59" s="1" t="s">
        <v>224</v>
      </c>
      <c r="H59" s="2" t="s">
        <v>201</v>
      </c>
    </row>
    <row r="60" spans="1:8" s="9" customFormat="1" ht="12.75" outlineLevel="1">
      <c r="A60" s="1" t="s">
        <v>65</v>
      </c>
      <c r="B60" s="2">
        <v>1</v>
      </c>
      <c r="C60" s="2" t="s">
        <v>178</v>
      </c>
      <c r="D60" s="2"/>
      <c r="E60" s="2"/>
      <c r="F60" s="1">
        <f>CpL_p(B60)</f>
        <v>4.216149430838748</v>
      </c>
      <c r="G60" s="1" t="s">
        <v>224</v>
      </c>
      <c r="H60" s="2" t="s">
        <v>200</v>
      </c>
    </row>
    <row r="61" spans="1:8" s="9" customFormat="1" ht="12.75" outlineLevel="1">
      <c r="A61" s="1" t="s">
        <v>66</v>
      </c>
      <c r="B61" s="2">
        <v>100</v>
      </c>
      <c r="C61" s="2" t="s">
        <v>179</v>
      </c>
      <c r="D61" s="2"/>
      <c r="E61" s="2"/>
      <c r="F61" s="1">
        <f>CpV_T(B61)</f>
        <v>2.0774918684822654</v>
      </c>
      <c r="G61" s="1" t="s">
        <v>224</v>
      </c>
      <c r="H61" s="2" t="s">
        <v>201</v>
      </c>
    </row>
    <row r="62" spans="1:8" s="9" customFormat="1" ht="12.75" outlineLevel="1">
      <c r="A62" s="1" t="s">
        <v>67</v>
      </c>
      <c r="B62" s="2">
        <v>100</v>
      </c>
      <c r="C62" s="2" t="s">
        <v>179</v>
      </c>
      <c r="D62" s="2"/>
      <c r="E62" s="2"/>
      <c r="F62" s="1">
        <f>CpL_T(B62)</f>
        <v>4.2166451189235845</v>
      </c>
      <c r="G62" s="1" t="s">
        <v>224</v>
      </c>
      <c r="H62" s="2" t="s">
        <v>200</v>
      </c>
    </row>
    <row r="63" spans="1:8" s="9" customFormat="1" ht="12.75" outlineLevel="1">
      <c r="A63" s="1" t="s">
        <v>68</v>
      </c>
      <c r="B63" s="2">
        <v>1</v>
      </c>
      <c r="C63" s="2" t="s">
        <v>178</v>
      </c>
      <c r="D63" s="2">
        <v>100</v>
      </c>
      <c r="E63" s="2" t="s">
        <v>179</v>
      </c>
      <c r="F63" s="1">
        <f>Cp_pT(B63,D63)</f>
        <v>2.0741085545801092</v>
      </c>
      <c r="G63" s="1" t="s">
        <v>224</v>
      </c>
      <c r="H63" s="2" t="s">
        <v>238</v>
      </c>
    </row>
    <row r="64" spans="1:8" s="9" customFormat="1" ht="12.75" outlineLevel="1">
      <c r="A64" s="1" t="s">
        <v>69</v>
      </c>
      <c r="B64" s="2">
        <v>1</v>
      </c>
      <c r="C64" s="2" t="s">
        <v>178</v>
      </c>
      <c r="D64" s="2">
        <v>200</v>
      </c>
      <c r="E64" s="2" t="s">
        <v>171</v>
      </c>
      <c r="F64" s="1">
        <f>Cp_ph(B64,D64)</f>
        <v>4.179135731688021</v>
      </c>
      <c r="G64" s="1" t="s">
        <v>224</v>
      </c>
      <c r="H64" s="2" t="s">
        <v>239</v>
      </c>
    </row>
    <row r="65" spans="1:8" s="9" customFormat="1" ht="12.75" outlineLevel="1">
      <c r="A65" s="1" t="s">
        <v>70</v>
      </c>
      <c r="B65" s="2">
        <v>1</v>
      </c>
      <c r="C65" s="2" t="s">
        <v>178</v>
      </c>
      <c r="D65" s="2">
        <v>1</v>
      </c>
      <c r="E65" s="2" t="s">
        <v>173</v>
      </c>
      <c r="F65" s="1">
        <f>Cp_ps(B65,D65)</f>
        <v>4.190607037901294</v>
      </c>
      <c r="G65" s="1" t="s">
        <v>224</v>
      </c>
      <c r="H65" s="2" t="s">
        <v>240</v>
      </c>
    </row>
    <row r="66" spans="1:7" s="13" customFormat="1" ht="15">
      <c r="A66" s="25" t="s">
        <v>185</v>
      </c>
      <c r="F66" s="12"/>
      <c r="G66" s="12"/>
    </row>
    <row r="67" spans="1:8" s="9" customFormat="1" ht="12.75" outlineLevel="1">
      <c r="A67" s="1" t="s">
        <v>71</v>
      </c>
      <c r="B67" s="2">
        <v>1</v>
      </c>
      <c r="C67" s="2" t="s">
        <v>178</v>
      </c>
      <c r="D67" s="2"/>
      <c r="E67" s="2"/>
      <c r="F67" s="1">
        <f>CvV_p(B67)</f>
        <v>1.5526969793308025</v>
      </c>
      <c r="G67" s="1" t="s">
        <v>224</v>
      </c>
      <c r="H67" s="2" t="s">
        <v>203</v>
      </c>
    </row>
    <row r="68" spans="1:8" s="9" customFormat="1" ht="12.75" outlineLevel="1">
      <c r="A68" s="1" t="s">
        <v>72</v>
      </c>
      <c r="B68" s="2">
        <v>1</v>
      </c>
      <c r="C68" s="2" t="s">
        <v>178</v>
      </c>
      <c r="D68" s="2"/>
      <c r="E68" s="2"/>
      <c r="F68" s="1">
        <f>CvL_p(B68)</f>
        <v>3.7696996827334974</v>
      </c>
      <c r="G68" s="1" t="s">
        <v>224</v>
      </c>
      <c r="H68" s="2" t="s">
        <v>202</v>
      </c>
    </row>
    <row r="69" spans="1:8" s="9" customFormat="1" ht="12.75" outlineLevel="1">
      <c r="A69" s="1" t="s">
        <v>73</v>
      </c>
      <c r="B69" s="2">
        <v>100</v>
      </c>
      <c r="C69" s="2" t="s">
        <v>179</v>
      </c>
      <c r="D69" s="2"/>
      <c r="E69" s="2"/>
      <c r="F69" s="1">
        <f>CvV_T(B69)</f>
        <v>1.5536986960345103</v>
      </c>
      <c r="G69" s="1" t="s">
        <v>224</v>
      </c>
      <c r="H69" s="2" t="s">
        <v>203</v>
      </c>
    </row>
    <row r="70" spans="1:8" s="9" customFormat="1" ht="12.75" outlineLevel="1">
      <c r="A70" s="1" t="s">
        <v>74</v>
      </c>
      <c r="B70" s="2">
        <v>100</v>
      </c>
      <c r="C70" s="2" t="s">
        <v>179</v>
      </c>
      <c r="D70" s="2"/>
      <c r="E70" s="2"/>
      <c r="F70" s="1">
        <f>CvL_T(B70)</f>
        <v>3.7677002201427507</v>
      </c>
      <c r="G70" s="1" t="s">
        <v>224</v>
      </c>
      <c r="H70" s="2" t="s">
        <v>202</v>
      </c>
    </row>
    <row r="71" spans="1:8" s="9" customFormat="1" ht="12.75" outlineLevel="1">
      <c r="A71" s="1" t="s">
        <v>75</v>
      </c>
      <c r="B71" s="2">
        <v>1</v>
      </c>
      <c r="C71" s="2" t="s">
        <v>178</v>
      </c>
      <c r="D71" s="2">
        <v>100</v>
      </c>
      <c r="E71" s="2" t="s">
        <v>179</v>
      </c>
      <c r="F71" s="1">
        <f>Cv_pT(B71,D71)</f>
        <v>1.5513972494644879</v>
      </c>
      <c r="G71" s="1" t="s">
        <v>224</v>
      </c>
      <c r="H71" s="2" t="s">
        <v>241</v>
      </c>
    </row>
    <row r="72" spans="1:8" s="9" customFormat="1" ht="12.75" outlineLevel="1">
      <c r="A72" s="1" t="s">
        <v>76</v>
      </c>
      <c r="B72" s="2">
        <v>1</v>
      </c>
      <c r="C72" s="2" t="s">
        <v>178</v>
      </c>
      <c r="D72" s="2">
        <v>200</v>
      </c>
      <c r="E72" s="2" t="s">
        <v>171</v>
      </c>
      <c r="F72" s="1">
        <f>Cv_ph(B72,D72)</f>
        <v>4.035176363579673</v>
      </c>
      <c r="G72" s="1" t="s">
        <v>224</v>
      </c>
      <c r="H72" s="2" t="s">
        <v>242</v>
      </c>
    </row>
    <row r="73" spans="1:8" s="9" customFormat="1" ht="12.75" outlineLevel="1">
      <c r="A73" s="1" t="s">
        <v>77</v>
      </c>
      <c r="B73" s="2">
        <v>1</v>
      </c>
      <c r="C73" s="2" t="s">
        <v>178</v>
      </c>
      <c r="D73" s="2">
        <v>1</v>
      </c>
      <c r="E73" s="2" t="s">
        <v>173</v>
      </c>
      <c r="F73" s="1">
        <f>Cv_ps(B73,D73)</f>
        <v>3.9029194681136645</v>
      </c>
      <c r="G73" s="1" t="s">
        <v>224</v>
      </c>
      <c r="H73" s="2" t="s">
        <v>243</v>
      </c>
    </row>
    <row r="74" spans="1:7" s="13" customFormat="1" ht="15">
      <c r="A74" s="25" t="s">
        <v>184</v>
      </c>
      <c r="F74" s="12"/>
      <c r="G74" s="12"/>
    </row>
    <row r="75" spans="1:8" s="9" customFormat="1" ht="12.75" outlineLevel="1">
      <c r="A75" s="1" t="s">
        <v>78</v>
      </c>
      <c r="B75" s="2">
        <v>1</v>
      </c>
      <c r="C75" s="2" t="s">
        <v>178</v>
      </c>
      <c r="D75" s="2"/>
      <c r="E75" s="2"/>
      <c r="F75" s="1">
        <f>wV_p(B75)</f>
        <v>472.0541571060476</v>
      </c>
      <c r="G75" s="1" t="s">
        <v>174</v>
      </c>
      <c r="H75" s="2" t="s">
        <v>205</v>
      </c>
    </row>
    <row r="76" spans="1:8" s="9" customFormat="1" ht="12.75" outlineLevel="1">
      <c r="A76" s="1" t="s">
        <v>79</v>
      </c>
      <c r="B76" s="2">
        <v>1</v>
      </c>
      <c r="C76" s="2" t="s">
        <v>178</v>
      </c>
      <c r="D76" s="2"/>
      <c r="E76" s="2"/>
      <c r="F76" s="1">
        <f>wL_p(B76)</f>
        <v>1545.4519475339648</v>
      </c>
      <c r="G76" s="1" t="s">
        <v>174</v>
      </c>
      <c r="H76" s="2" t="s">
        <v>204</v>
      </c>
    </row>
    <row r="77" spans="1:8" s="9" customFormat="1" ht="12.75" outlineLevel="1">
      <c r="A77" s="1" t="s">
        <v>80</v>
      </c>
      <c r="B77" s="2">
        <v>100</v>
      </c>
      <c r="C77" s="2" t="s">
        <v>179</v>
      </c>
      <c r="D77" s="2"/>
      <c r="E77" s="2"/>
      <c r="F77" s="1">
        <f>wV_T(B77)</f>
        <v>472.2559492389438</v>
      </c>
      <c r="G77" s="1" t="s">
        <v>174</v>
      </c>
      <c r="H77" s="2" t="s">
        <v>205</v>
      </c>
    </row>
    <row r="78" spans="1:8" s="9" customFormat="1" ht="12.75" outlineLevel="1">
      <c r="A78" s="1" t="s">
        <v>81</v>
      </c>
      <c r="B78" s="2">
        <v>100</v>
      </c>
      <c r="C78" s="2" t="s">
        <v>179</v>
      </c>
      <c r="D78" s="2"/>
      <c r="E78" s="2"/>
      <c r="F78" s="1">
        <f>wL_T(B78)</f>
        <v>1545.0922491938707</v>
      </c>
      <c r="G78" s="1" t="s">
        <v>174</v>
      </c>
      <c r="H78" s="2" t="s">
        <v>204</v>
      </c>
    </row>
    <row r="79" spans="1:8" s="9" customFormat="1" ht="12.75" outlineLevel="1">
      <c r="A79" s="1" t="s">
        <v>82</v>
      </c>
      <c r="B79" s="2">
        <v>1</v>
      </c>
      <c r="C79" s="2" t="s">
        <v>178</v>
      </c>
      <c r="D79" s="2">
        <v>100</v>
      </c>
      <c r="E79" s="2" t="s">
        <v>179</v>
      </c>
      <c r="F79" s="1">
        <f>w_pT(B79,D79)</f>
        <v>472.3375235248552</v>
      </c>
      <c r="G79" s="1" t="s">
        <v>174</v>
      </c>
      <c r="H79" s="2" t="s">
        <v>244</v>
      </c>
    </row>
    <row r="80" spans="1:8" s="9" customFormat="1" ht="12.75" outlineLevel="1">
      <c r="A80" s="1" t="s">
        <v>83</v>
      </c>
      <c r="B80" s="2">
        <v>1</v>
      </c>
      <c r="C80" s="2" t="s">
        <v>178</v>
      </c>
      <c r="D80" s="2">
        <v>200</v>
      </c>
      <c r="E80" s="2" t="s">
        <v>171</v>
      </c>
      <c r="F80" s="1">
        <f>w_ph(B80,D80)</f>
        <v>1542.6824750114695</v>
      </c>
      <c r="G80" s="1" t="s">
        <v>174</v>
      </c>
      <c r="H80" s="2" t="s">
        <v>245</v>
      </c>
    </row>
    <row r="81" spans="1:8" s="9" customFormat="1" ht="12.75" outlineLevel="1">
      <c r="A81" s="1" t="s">
        <v>84</v>
      </c>
      <c r="B81" s="2">
        <v>1</v>
      </c>
      <c r="C81" s="2" t="s">
        <v>178</v>
      </c>
      <c r="D81" s="2">
        <v>1</v>
      </c>
      <c r="E81" s="2" t="s">
        <v>173</v>
      </c>
      <c r="F81" s="1">
        <f>w_ps(B81,D81)</f>
        <v>1557.858535532216</v>
      </c>
      <c r="G81" s="1" t="s">
        <v>174</v>
      </c>
      <c r="H81" s="2" t="s">
        <v>114</v>
      </c>
    </row>
    <row r="82" spans="1:7" s="13" customFormat="1" ht="15">
      <c r="A82" s="25" t="s">
        <v>7</v>
      </c>
      <c r="F82" s="12"/>
      <c r="G82" s="12"/>
    </row>
    <row r="83" spans="1:7" s="9" customFormat="1" ht="11.25" outlineLevel="1">
      <c r="A83" s="9" t="s">
        <v>127</v>
      </c>
      <c r="F83" s="11"/>
      <c r="G83" s="11"/>
    </row>
    <row r="84" spans="1:7" s="9" customFormat="1" ht="11.25" outlineLevel="1">
      <c r="A84" s="9" t="s">
        <v>210</v>
      </c>
      <c r="F84" s="11"/>
      <c r="G84" s="11"/>
    </row>
    <row r="85" spans="1:8" s="9" customFormat="1" ht="12.75" outlineLevel="1">
      <c r="A85" s="1" t="s">
        <v>85</v>
      </c>
      <c r="B85" s="2">
        <v>1</v>
      </c>
      <c r="C85" s="2" t="s">
        <v>178</v>
      </c>
      <c r="D85" s="2">
        <v>100</v>
      </c>
      <c r="E85" s="2" t="s">
        <v>179</v>
      </c>
      <c r="F85" s="1">
        <f>my_pT(B85,D85)</f>
        <v>1.2270405707196504E-05</v>
      </c>
      <c r="G85" s="1" t="s">
        <v>207</v>
      </c>
      <c r="H85" s="2" t="s">
        <v>115</v>
      </c>
    </row>
    <row r="86" spans="1:8" s="9" customFormat="1" ht="12.75" outlineLevel="1">
      <c r="A86" s="1" t="s">
        <v>86</v>
      </c>
      <c r="B86" s="2">
        <v>1</v>
      </c>
      <c r="C86" s="2" t="s">
        <v>178</v>
      </c>
      <c r="D86" s="2">
        <v>100</v>
      </c>
      <c r="E86" s="2" t="s">
        <v>171</v>
      </c>
      <c r="F86" s="10">
        <f>my_ph(B86,D86)</f>
        <v>0.000914003770302108</v>
      </c>
      <c r="G86" s="1" t="s">
        <v>207</v>
      </c>
      <c r="H86" s="2" t="s">
        <v>116</v>
      </c>
    </row>
    <row r="87" spans="1:8" s="9" customFormat="1" ht="12.75" outlineLevel="1">
      <c r="A87" s="1" t="s">
        <v>87</v>
      </c>
      <c r="B87" s="2">
        <v>1</v>
      </c>
      <c r="C87" s="2" t="s">
        <v>178</v>
      </c>
      <c r="D87" s="2">
        <v>1</v>
      </c>
      <c r="E87" s="2" t="s">
        <v>173</v>
      </c>
      <c r="F87" s="10">
        <f>my_ps(B87,D87)</f>
        <v>0.00038422186564756434</v>
      </c>
      <c r="G87" s="1" t="s">
        <v>207</v>
      </c>
      <c r="H87" s="2" t="s">
        <v>117</v>
      </c>
    </row>
    <row r="88" spans="1:13" ht="18">
      <c r="A88" s="6" t="s">
        <v>2</v>
      </c>
      <c r="F88" s="10"/>
      <c r="H88" s="40"/>
      <c r="I88" s="7"/>
      <c r="J88" s="7"/>
      <c r="K88" s="7"/>
      <c r="L88" s="7"/>
      <c r="M88" s="7"/>
    </row>
    <row r="89" spans="1:13" ht="12.75" outlineLevel="1">
      <c r="A89" s="9" t="s">
        <v>8</v>
      </c>
      <c r="F89" s="10"/>
      <c r="H89" s="40"/>
      <c r="I89" s="7"/>
      <c r="J89" s="7"/>
      <c r="K89" s="7"/>
      <c r="L89" s="7"/>
      <c r="M89" s="7"/>
    </row>
    <row r="90" spans="1:13" ht="12.75" outlineLevel="1">
      <c r="A90" s="1" t="s">
        <v>88</v>
      </c>
      <c r="B90">
        <v>1</v>
      </c>
      <c r="C90" t="s">
        <v>178</v>
      </c>
      <c r="D90">
        <v>200</v>
      </c>
      <c r="E90" t="s">
        <v>179</v>
      </c>
      <c r="F90" s="10">
        <f>pr_pT(B90,D90)</f>
        <v>0.9578082143858805</v>
      </c>
      <c r="G90" s="1" t="s">
        <v>11</v>
      </c>
      <c r="H90" s="40"/>
      <c r="I90" s="7"/>
      <c r="J90" s="7"/>
      <c r="K90" s="7"/>
      <c r="L90" s="7"/>
      <c r="M90" s="7"/>
    </row>
    <row r="91" spans="1:13" ht="12.75" outlineLevel="1">
      <c r="A91" s="1" t="s">
        <v>89</v>
      </c>
      <c r="B91">
        <v>1</v>
      </c>
      <c r="C91" t="s">
        <v>178</v>
      </c>
      <c r="D91">
        <v>2875.4750649489024</v>
      </c>
      <c r="E91" t="s">
        <v>171</v>
      </c>
      <c r="F91" s="10">
        <f>pr_ph(B91,D91)</f>
        <v>0.9578082614835574</v>
      </c>
      <c r="G91" s="1" t="s">
        <v>11</v>
      </c>
      <c r="H91" s="40"/>
      <c r="I91" s="7"/>
      <c r="J91" s="7"/>
      <c r="K91" s="7"/>
      <c r="L91" s="7"/>
      <c r="M91" s="7"/>
    </row>
    <row r="92" spans="1:13" s="13" customFormat="1" ht="15">
      <c r="A92" s="25" t="s">
        <v>129</v>
      </c>
      <c r="F92" s="12"/>
      <c r="G92" s="12"/>
      <c r="H92" s="41"/>
      <c r="I92" s="41"/>
      <c r="J92" s="41"/>
      <c r="K92" s="41"/>
      <c r="L92" s="41"/>
      <c r="M92" s="41"/>
    </row>
    <row r="93" spans="1:7" s="9" customFormat="1" ht="11.25" outlineLevel="1">
      <c r="A93" s="9" t="s">
        <v>130</v>
      </c>
      <c r="F93" s="11"/>
      <c r="G93" s="11"/>
    </row>
    <row r="94" spans="1:8" s="9" customFormat="1" ht="12.75" outlineLevel="1">
      <c r="A94" s="1" t="s">
        <v>90</v>
      </c>
      <c r="B94" s="2">
        <v>100</v>
      </c>
      <c r="C94" s="2" t="s">
        <v>178</v>
      </c>
      <c r="D94" s="2"/>
      <c r="E94" s="2"/>
      <c r="F94" s="1">
        <f>tcL_p(B94)</f>
        <v>0.5245401945825722</v>
      </c>
      <c r="G94" s="1" t="s">
        <v>131</v>
      </c>
      <c r="H94" s="2" t="s">
        <v>132</v>
      </c>
    </row>
    <row r="95" spans="1:8" s="9" customFormat="1" ht="12.75" outlineLevel="1">
      <c r="A95" s="1" t="s">
        <v>91</v>
      </c>
      <c r="B95" s="2">
        <v>1</v>
      </c>
      <c r="C95" s="2" t="s">
        <v>178</v>
      </c>
      <c r="D95" s="2"/>
      <c r="E95" s="2"/>
      <c r="F95" s="1">
        <f>tcV_p(B95)</f>
        <v>0.024753667592350457</v>
      </c>
      <c r="G95" s="1" t="s">
        <v>131</v>
      </c>
      <c r="H95" s="2" t="s">
        <v>133</v>
      </c>
    </row>
    <row r="96" spans="1:8" s="9" customFormat="1" ht="12.75" outlineLevel="1">
      <c r="A96" s="1" t="s">
        <v>92</v>
      </c>
      <c r="B96" s="2">
        <v>100</v>
      </c>
      <c r="C96" s="2" t="s">
        <v>179</v>
      </c>
      <c r="D96" s="2"/>
      <c r="E96" s="2"/>
      <c r="F96" s="1">
        <f>tcL_T(B96)</f>
        <v>0.6777575115871504</v>
      </c>
      <c r="G96" s="1" t="s">
        <v>131</v>
      </c>
      <c r="H96" s="2" t="s">
        <v>132</v>
      </c>
    </row>
    <row r="97" spans="1:8" s="9" customFormat="1" ht="12.75" outlineLevel="1">
      <c r="A97" s="1" t="s">
        <v>93</v>
      </c>
      <c r="B97" s="2">
        <v>100</v>
      </c>
      <c r="C97" s="2" t="s">
        <v>179</v>
      </c>
      <c r="D97" s="2"/>
      <c r="E97" s="2"/>
      <c r="F97" s="1">
        <f>tcV_T(B97)</f>
        <v>0.024793871441017475</v>
      </c>
      <c r="G97" s="1" t="s">
        <v>131</v>
      </c>
      <c r="H97" s="2" t="s">
        <v>133</v>
      </c>
    </row>
    <row r="98" spans="1:8" s="9" customFormat="1" ht="12.75" outlineLevel="1">
      <c r="A98" s="1" t="s">
        <v>94</v>
      </c>
      <c r="B98" s="2">
        <v>100</v>
      </c>
      <c r="C98" s="2" t="s">
        <v>178</v>
      </c>
      <c r="D98" s="2">
        <v>350</v>
      </c>
      <c r="E98" s="2" t="s">
        <v>179</v>
      </c>
      <c r="F98" s="1">
        <f>tc_pt(B98,D98)</f>
        <v>0.06854530375253094</v>
      </c>
      <c r="G98" s="1" t="s">
        <v>131</v>
      </c>
      <c r="H98" s="2" t="s">
        <v>134</v>
      </c>
    </row>
    <row r="99" spans="1:8" s="9" customFormat="1" ht="12.75" outlineLevel="1">
      <c r="A99" s="1" t="s">
        <v>95</v>
      </c>
      <c r="B99" s="2">
        <v>1</v>
      </c>
      <c r="C99" s="2" t="s">
        <v>178</v>
      </c>
      <c r="D99" s="2">
        <v>350</v>
      </c>
      <c r="E99" s="2" t="s">
        <v>173</v>
      </c>
      <c r="F99" s="1">
        <f>tc_ph(B99,D99)</f>
        <v>0.6692963321574509</v>
      </c>
      <c r="G99" s="1" t="s">
        <v>131</v>
      </c>
      <c r="H99" s="2" t="s">
        <v>135</v>
      </c>
    </row>
    <row r="100" spans="1:8" s="9" customFormat="1" ht="12.75" outlineLevel="1">
      <c r="A100" s="1" t="s">
        <v>96</v>
      </c>
      <c r="B100" s="2">
        <v>100</v>
      </c>
      <c r="C100" s="2" t="s">
        <v>173</v>
      </c>
      <c r="D100" s="2">
        <v>0.34</v>
      </c>
      <c r="E100" s="2" t="s">
        <v>173</v>
      </c>
      <c r="F100" s="1">
        <f>tc_hs(B100,D100)</f>
        <v>0.6062831238489123</v>
      </c>
      <c r="G100" s="1" t="s">
        <v>131</v>
      </c>
      <c r="H100" s="2" t="s">
        <v>136</v>
      </c>
    </row>
    <row r="101" spans="1:8" s="9" customFormat="1" ht="15">
      <c r="A101" s="25" t="s">
        <v>137</v>
      </c>
      <c r="B101" s="2"/>
      <c r="C101" s="2"/>
      <c r="D101" s="2"/>
      <c r="E101" s="2"/>
      <c r="F101" s="1"/>
      <c r="G101" s="1"/>
      <c r="H101" s="2"/>
    </row>
    <row r="102" spans="1:7" s="9" customFormat="1" ht="11.25" outlineLevel="1">
      <c r="A102" s="9" t="s">
        <v>138</v>
      </c>
      <c r="F102" s="11"/>
      <c r="G102" s="11"/>
    </row>
    <row r="103" spans="1:8" s="9" customFormat="1" ht="12.75" outlineLevel="1">
      <c r="A103" s="1" t="s">
        <v>97</v>
      </c>
      <c r="B103" s="2">
        <v>100</v>
      </c>
      <c r="C103" s="2" t="s">
        <v>179</v>
      </c>
      <c r="D103" s="2"/>
      <c r="E103" s="2"/>
      <c r="F103" s="1">
        <f>st_T(B104)</f>
        <v>0.07550766158583765</v>
      </c>
      <c r="G103" s="1" t="s">
        <v>139</v>
      </c>
      <c r="H103" s="2" t="s">
        <v>141</v>
      </c>
    </row>
    <row r="104" spans="1:8" s="9" customFormat="1" ht="12.75" outlineLevel="1">
      <c r="A104" s="1" t="s">
        <v>98</v>
      </c>
      <c r="B104" s="2">
        <v>1</v>
      </c>
      <c r="C104" s="2" t="s">
        <v>178</v>
      </c>
      <c r="D104" s="2"/>
      <c r="E104" s="2"/>
      <c r="F104" s="1">
        <f>st_p(B104)</f>
        <v>0.05898778418085993</v>
      </c>
      <c r="G104" s="1" t="s">
        <v>139</v>
      </c>
      <c r="H104" s="2" t="s">
        <v>141</v>
      </c>
    </row>
    <row r="105" spans="1:7" s="13" customFormat="1" ht="15">
      <c r="A105" s="25" t="s">
        <v>206</v>
      </c>
      <c r="F105" s="12"/>
      <c r="G105" s="12"/>
    </row>
    <row r="106" spans="1:8" s="9" customFormat="1" ht="12.75" outlineLevel="1">
      <c r="A106" s="1" t="s">
        <v>99</v>
      </c>
      <c r="B106" s="2">
        <v>1</v>
      </c>
      <c r="C106" s="2" t="s">
        <v>178</v>
      </c>
      <c r="D106" s="2">
        <v>1000</v>
      </c>
      <c r="E106" s="2" t="s">
        <v>171</v>
      </c>
      <c r="F106" s="1">
        <f>x_ph(B106,D106)</f>
        <v>0.2580554239027952</v>
      </c>
      <c r="G106" s="1"/>
      <c r="H106" s="2" t="s">
        <v>118</v>
      </c>
    </row>
    <row r="107" spans="1:8" s="9" customFormat="1" ht="12.75" outlineLevel="1">
      <c r="A107" s="1" t="s">
        <v>100</v>
      </c>
      <c r="B107" s="2">
        <v>1</v>
      </c>
      <c r="C107" s="2" t="s">
        <v>178</v>
      </c>
      <c r="D107" s="2">
        <v>4</v>
      </c>
      <c r="E107" s="2" t="s">
        <v>173</v>
      </c>
      <c r="F107" s="1">
        <f>x_ps(B107,D107)</f>
        <v>0.4453979607323203</v>
      </c>
      <c r="G107" s="1"/>
      <c r="H107" s="2" t="s">
        <v>119</v>
      </c>
    </row>
    <row r="108" spans="1:7" s="13" customFormat="1" ht="15">
      <c r="A108" s="25" t="s">
        <v>126</v>
      </c>
      <c r="F108" s="12"/>
      <c r="G108" s="12"/>
    </row>
    <row r="109" spans="1:7" s="9" customFormat="1" ht="11.25" outlineLevel="1">
      <c r="A109" s="9" t="s">
        <v>216</v>
      </c>
      <c r="F109" s="11"/>
      <c r="G109" s="11"/>
    </row>
    <row r="110" spans="1:7" s="9" customFormat="1" ht="11.25" outlineLevel="1">
      <c r="A110" s="9" t="s">
        <v>209</v>
      </c>
      <c r="F110" s="11"/>
      <c r="G110" s="11"/>
    </row>
    <row r="111" spans="1:8" s="9" customFormat="1" ht="12.75" outlineLevel="1">
      <c r="A111" s="1" t="s">
        <v>101</v>
      </c>
      <c r="B111" s="2">
        <v>1</v>
      </c>
      <c r="C111" s="2" t="s">
        <v>178</v>
      </c>
      <c r="D111" s="2">
        <v>418</v>
      </c>
      <c r="E111" s="2" t="s">
        <v>171</v>
      </c>
      <c r="F111" s="8">
        <f>vx_ph(B111,D111)</f>
        <v>0.2884930934370672</v>
      </c>
      <c r="G111" s="1"/>
      <c r="H111" s="2" t="s">
        <v>120</v>
      </c>
    </row>
    <row r="112" spans="1:8" s="9" customFormat="1" ht="12.75" outlineLevel="1">
      <c r="A112" s="1" t="s">
        <v>102</v>
      </c>
      <c r="B112" s="2">
        <v>1</v>
      </c>
      <c r="C112" s="2" t="s">
        <v>178</v>
      </c>
      <c r="D112" s="2">
        <v>4</v>
      </c>
      <c r="E112" s="2" t="s">
        <v>173</v>
      </c>
      <c r="F112" s="8">
        <f>vx_ps(B112,D112)</f>
        <v>0.9992338266388803</v>
      </c>
      <c r="G112" s="1"/>
      <c r="H112" s="2" t="s">
        <v>121</v>
      </c>
    </row>
    <row r="113" spans="6:7" s="9" customFormat="1" ht="11.25">
      <c r="F113" s="11"/>
      <c r="G113" s="11"/>
    </row>
    <row r="114" ht="15">
      <c r="A114" s="25" t="s">
        <v>12</v>
      </c>
    </row>
    <row r="115" ht="12.75">
      <c r="A115" s="11" t="s">
        <v>113</v>
      </c>
    </row>
    <row r="116" ht="12.75">
      <c r="A116" s="9" t="s">
        <v>1</v>
      </c>
    </row>
    <row r="117" ht="12.75">
      <c r="A117" s="9" t="s">
        <v>112</v>
      </c>
    </row>
    <row r="118" ht="12.75">
      <c r="A118" s="11" t="s">
        <v>109</v>
      </c>
    </row>
    <row r="119" ht="12.75">
      <c r="A119" s="9" t="s">
        <v>111</v>
      </c>
    </row>
    <row r="120" ht="12.75">
      <c r="A120" s="9" t="s">
        <v>110</v>
      </c>
    </row>
    <row r="121" ht="12.75">
      <c r="A121" s="9" t="s">
        <v>108</v>
      </c>
    </row>
    <row r="122" ht="12.75">
      <c r="A122" s="11" t="s">
        <v>106</v>
      </c>
    </row>
    <row r="123" ht="12.75">
      <c r="A123" s="9" t="s">
        <v>107</v>
      </c>
    </row>
    <row r="124" ht="12.75">
      <c r="A124" s="11" t="s">
        <v>19</v>
      </c>
    </row>
    <row r="125" ht="12.75">
      <c r="A125" s="9" t="s">
        <v>105</v>
      </c>
    </row>
    <row r="126" ht="12.75">
      <c r="A126" s="9" t="s">
        <v>104</v>
      </c>
    </row>
    <row r="127" ht="10.5" customHeight="1">
      <c r="A127" s="9" t="s">
        <v>103</v>
      </c>
    </row>
    <row r="128" ht="11.25" customHeight="1">
      <c r="A128" s="9" t="s">
        <v>20</v>
      </c>
    </row>
    <row r="129" ht="11.25" customHeight="1">
      <c r="A129" s="11" t="s">
        <v>14</v>
      </c>
    </row>
    <row r="130" ht="12.75">
      <c r="A130" s="9" t="s">
        <v>17</v>
      </c>
    </row>
    <row r="131" ht="12.75">
      <c r="A131" s="9" t="s">
        <v>10</v>
      </c>
    </row>
    <row r="132" ht="12.75">
      <c r="A132" s="9" t="s">
        <v>15</v>
      </c>
    </row>
    <row r="133" ht="12.75">
      <c r="A133" s="9" t="s">
        <v>16</v>
      </c>
    </row>
    <row r="134" ht="12.75">
      <c r="A134" s="9" t="s">
        <v>18</v>
      </c>
    </row>
    <row r="135" ht="12.75">
      <c r="A135" s="11" t="s">
        <v>4</v>
      </c>
    </row>
    <row r="136" ht="12.75">
      <c r="A136" s="9" t="s">
        <v>10</v>
      </c>
    </row>
    <row r="137" ht="12.75">
      <c r="A137" s="9" t="s">
        <v>6</v>
      </c>
    </row>
    <row r="138" ht="12.75">
      <c r="A138" s="9" t="s">
        <v>5</v>
      </c>
    </row>
    <row r="139" ht="12.75">
      <c r="A139" s="9" t="s">
        <v>13</v>
      </c>
    </row>
    <row r="140" ht="12.75">
      <c r="A140" s="9" t="s">
        <v>9</v>
      </c>
    </row>
    <row r="141" ht="12.75">
      <c r="A141" s="11" t="s">
        <v>170</v>
      </c>
    </row>
    <row r="142" ht="12.75">
      <c r="A142" s="9" t="s">
        <v>166</v>
      </c>
    </row>
    <row r="143" ht="12.75">
      <c r="A143" s="9" t="s">
        <v>167</v>
      </c>
    </row>
    <row r="144" ht="12.75">
      <c r="A144" s="9" t="s">
        <v>168</v>
      </c>
    </row>
    <row r="145" ht="12.75">
      <c r="A145" s="11" t="s">
        <v>169</v>
      </c>
    </row>
    <row r="146" ht="12.75">
      <c r="A146" s="9" t="s">
        <v>122</v>
      </c>
    </row>
    <row r="147" ht="12.75">
      <c r="A147" s="9" t="s">
        <v>140</v>
      </c>
    </row>
    <row r="148" ht="12.75">
      <c r="A148" s="9" t="s">
        <v>123</v>
      </c>
    </row>
    <row r="149" ht="12.75">
      <c r="A149" s="9" t="s">
        <v>124</v>
      </c>
    </row>
    <row r="150" ht="12.75">
      <c r="A150" s="9" t="s">
        <v>125</v>
      </c>
    </row>
  </sheetData>
  <sheetProtection/>
  <hyperlinks>
    <hyperlink ref="E1" r:id="rId1" display="http://www.x-eng.com"/>
    <hyperlink ref="F4" r:id="rId2" display="magnus@x-eng.com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Györke Gábor</cp:lastModifiedBy>
  <dcterms:created xsi:type="dcterms:W3CDTF">1996-10-14T23:33:28Z</dcterms:created>
  <dcterms:modified xsi:type="dcterms:W3CDTF">2014-08-28T12:55:42Z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