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9435" windowHeight="4020" tabRatio="598" activeTab="0"/>
  </bookViews>
  <sheets>
    <sheet name="tve véghőmérséklet" sheetId="1" r:id="rId1"/>
    <sheet name="Properties" sheetId="2" state="hidden" r:id="rId2"/>
    <sheet name="Functions" sheetId="3" state="hidden" r:id="rId3"/>
  </sheets>
  <definedNames>
    <definedName name="solver_adj" localSheetId="0" hidden="1">'tve véghőmérséklet'!$C$23:$C$25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'tve véghőmérséklet'!$C$23:$C$76</definedName>
    <definedName name="solver_lhs2" localSheetId="0" hidden="1">'tve véghőmérséklet'!$C$26:$C$76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'tve véghőmérséklet'!$G$77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'tve véghőmérséklet'!#REF!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<sst xmlns="http://schemas.openxmlformats.org/spreadsheetml/2006/main" count="639" uniqueCount="301">
  <si>
    <t>v2.6</t>
  </si>
  <si>
    <t>* Error in valid region for function tc_ptrho</t>
  </si>
  <si>
    <t>Prandtl</t>
  </si>
  <si>
    <t>Pressure as a function of h and rho (density). Very unaccurate for solid water region since it's almost incompressible!</t>
  </si>
  <si>
    <t>News in V2.2</t>
  </si>
  <si>
    <t>* Function p_hrho added. (Very good for calcualting pressure when heating a volume with water/steam mixture.)</t>
  </si>
  <si>
    <t>* Fixed error in Cp_ph</t>
  </si>
  <si>
    <t>Dynamic Viscosity</t>
  </si>
  <si>
    <t>Calcualted as Cp*my/tc</t>
  </si>
  <si>
    <t>* Prandtl number added</t>
  </si>
  <si>
    <t>* Extensive testing</t>
  </si>
  <si>
    <t>-</t>
  </si>
  <si>
    <t>Version history</t>
  </si>
  <si>
    <t>* Fixed error in T_hs return no value for vet region bellow the water saturation line.</t>
  </si>
  <si>
    <t>News in V2.3</t>
  </si>
  <si>
    <t>* my_ph not defined in region 4.</t>
  </si>
  <si>
    <t>* Problems at region border for h4V_p to adress solver problems at the exact border.</t>
  </si>
  <si>
    <t>* Option Explicit, gives more efficient calculations.</t>
  </si>
  <si>
    <t>* Problem at fast border check in region_ph fixed.</t>
  </si>
  <si>
    <t>News in V2.4</t>
  </si>
  <si>
    <t>* Matlab error giving varaible undefined in some backwards solutions fixed.</t>
  </si>
  <si>
    <t xml:space="preserve"> p_hrho</t>
  </si>
  <si>
    <t xml:space="preserve"> p_hs</t>
  </si>
  <si>
    <t xml:space="preserve"> psat_T</t>
  </si>
  <si>
    <t xml:space="preserve"> T_hs</t>
  </si>
  <si>
    <t xml:space="preserve"> T_ph</t>
  </si>
  <si>
    <t xml:space="preserve"> Tsat_p</t>
  </si>
  <si>
    <t xml:space="preserve"> T_ps</t>
  </si>
  <si>
    <t xml:space="preserve"> hV_p</t>
  </si>
  <si>
    <t xml:space="preserve"> hL_p</t>
  </si>
  <si>
    <t xml:space="preserve"> hV_T</t>
  </si>
  <si>
    <t xml:space="preserve"> hL_T</t>
  </si>
  <si>
    <t xml:space="preserve"> h_pT</t>
  </si>
  <si>
    <t xml:space="preserve"> h_ps</t>
  </si>
  <si>
    <t xml:space="preserve"> h_px</t>
  </si>
  <si>
    <t xml:space="preserve"> h_Tx</t>
  </si>
  <si>
    <t xml:space="preserve"> h_prho</t>
  </si>
  <si>
    <t xml:space="preserve"> vV_p</t>
  </si>
  <si>
    <t xml:space="preserve"> vL_p</t>
  </si>
  <si>
    <t xml:space="preserve"> vV_T</t>
  </si>
  <si>
    <t xml:space="preserve"> vL_T</t>
  </si>
  <si>
    <t xml:space="preserve"> v_pT</t>
  </si>
  <si>
    <t xml:space="preserve"> v_ph</t>
  </si>
  <si>
    <t xml:space="preserve"> v_ps</t>
  </si>
  <si>
    <t xml:space="preserve"> rhoV_p</t>
  </si>
  <si>
    <t xml:space="preserve"> rhoL_p</t>
  </si>
  <si>
    <t xml:space="preserve"> rhoV_T</t>
  </si>
  <si>
    <t xml:space="preserve"> rhoL_T</t>
  </si>
  <si>
    <t xml:space="preserve"> rho_pT</t>
  </si>
  <si>
    <t xml:space="preserve"> rho_ph</t>
  </si>
  <si>
    <t xml:space="preserve"> rho_ps</t>
  </si>
  <si>
    <t xml:space="preserve"> sV_p</t>
  </si>
  <si>
    <t xml:space="preserve"> sL_p</t>
  </si>
  <si>
    <t xml:space="preserve"> sV_T</t>
  </si>
  <si>
    <t xml:space="preserve"> sL_T</t>
  </si>
  <si>
    <t xml:space="preserve"> s_pT</t>
  </si>
  <si>
    <t xml:space="preserve"> s_ph</t>
  </si>
  <si>
    <t xml:space="preserve"> uV_p</t>
  </si>
  <si>
    <t xml:space="preserve"> uL_p</t>
  </si>
  <si>
    <t xml:space="preserve"> uV_T</t>
  </si>
  <si>
    <t xml:space="preserve"> uL_T</t>
  </si>
  <si>
    <t xml:space="preserve"> u_pT</t>
  </si>
  <si>
    <t xml:space="preserve"> u_ph</t>
  </si>
  <si>
    <t xml:space="preserve"> u_ps</t>
  </si>
  <si>
    <t xml:space="preserve"> CpV_p</t>
  </si>
  <si>
    <t xml:space="preserve"> CpL_p</t>
  </si>
  <si>
    <t xml:space="preserve"> CpV_T</t>
  </si>
  <si>
    <t xml:space="preserve"> CpL_T</t>
  </si>
  <si>
    <t xml:space="preserve"> Cp_pT</t>
  </si>
  <si>
    <t xml:space="preserve"> Cp_ph</t>
  </si>
  <si>
    <t xml:space="preserve"> Cp_ps</t>
  </si>
  <si>
    <t xml:space="preserve"> CvV_p</t>
  </si>
  <si>
    <t xml:space="preserve"> CvL_p</t>
  </si>
  <si>
    <t xml:space="preserve"> CvV_T</t>
  </si>
  <si>
    <t xml:space="preserve"> CvL_T</t>
  </si>
  <si>
    <t xml:space="preserve"> Cv_pT</t>
  </si>
  <si>
    <t xml:space="preserve"> Cv_ph</t>
  </si>
  <si>
    <t xml:space="preserve"> Cv_ps</t>
  </si>
  <si>
    <t xml:space="preserve"> wV_p</t>
  </si>
  <si>
    <t xml:space="preserve"> wL_p</t>
  </si>
  <si>
    <t xml:space="preserve"> wV_T</t>
  </si>
  <si>
    <t xml:space="preserve"> wL_T</t>
  </si>
  <si>
    <t xml:space="preserve"> w_pT</t>
  </si>
  <si>
    <t xml:space="preserve"> w_ph</t>
  </si>
  <si>
    <t xml:space="preserve"> w_ps</t>
  </si>
  <si>
    <t xml:space="preserve"> my_pT</t>
  </si>
  <si>
    <t xml:space="preserve"> my_ph</t>
  </si>
  <si>
    <t xml:space="preserve"> my_ps</t>
  </si>
  <si>
    <t xml:space="preserve"> pr_pT</t>
  </si>
  <si>
    <t xml:space="preserve"> pr_ph</t>
  </si>
  <si>
    <t xml:space="preserve"> tcL_p</t>
  </si>
  <si>
    <t xml:space="preserve"> tcV_p</t>
  </si>
  <si>
    <t xml:space="preserve"> tcL_T</t>
  </si>
  <si>
    <t xml:space="preserve"> tcV_T</t>
  </si>
  <si>
    <t xml:space="preserve"> tc_pT</t>
  </si>
  <si>
    <t xml:space="preserve"> tc_ph</t>
  </si>
  <si>
    <t xml:space="preserve"> tc_hs</t>
  </si>
  <si>
    <t xml:space="preserve"> st_T</t>
  </si>
  <si>
    <t xml:space="preserve"> st_p</t>
  </si>
  <si>
    <t xml:space="preserve"> x_ph</t>
  </si>
  <si>
    <t xml:space="preserve"> x_ps</t>
  </si>
  <si>
    <t xml:space="preserve"> vx_ph</t>
  </si>
  <si>
    <t xml:space="preserve"> vx_ps</t>
  </si>
  <si>
    <t>* OpenOffice version introduced. (Fixed calculation differences in open office and excel)</t>
  </si>
  <si>
    <t>* Many missing ; in matlab causing printouts detected.</t>
  </si>
  <si>
    <t>* Functions by p,rho inplemented in matlab also.</t>
  </si>
  <si>
    <t>News in V2.4a</t>
  </si>
  <si>
    <t>* ToSIUnit for h_ps region 4. (No effect in SI unit version).</t>
  </si>
  <si>
    <t>* Fixed small error in Cv Region 5 p&gt;1000bar</t>
  </si>
  <si>
    <t>News in V2.5</t>
  </si>
  <si>
    <t>* Freebasic translation</t>
  </si>
  <si>
    <t>* DLL distrubution for use in other applications</t>
  </si>
  <si>
    <t>* Error in function h3_pt for temperatures near the saturation point.</t>
  </si>
  <si>
    <t>News in V2.6</t>
  </si>
  <si>
    <t>Speed of sound as a function of pressure and entropy.</t>
  </si>
  <si>
    <t>Viscosity as a function of pressure and temperature.</t>
  </si>
  <si>
    <t>Viscosity as a function of pressure and enthalpy</t>
  </si>
  <si>
    <t>Viscosity as a function of pressure and entropy.</t>
  </si>
  <si>
    <t>Vapour fraction as a function of pressure and enthalpy</t>
  </si>
  <si>
    <t>Vapour fraction as a function of pressure and entropy.</t>
  </si>
  <si>
    <t>Vapour volume fraction as a function of pressure and enthalpy</t>
  </si>
  <si>
    <t>Vapour volume fraction as a function of pressure and entropy.</t>
  </si>
  <si>
    <t>* Calling functions of h and s added.</t>
  </si>
  <si>
    <t>* Calling functions h_px and h_tx added.</t>
  </si>
  <si>
    <t>* Cp, Cv and w undefined in the mixed region. (Before interpolation with the vapor fraction was used.)</t>
  </si>
  <si>
    <t>* A work sheet "Properties" for simple lookups added.</t>
  </si>
  <si>
    <t>Vapour Volume Fraction</t>
  </si>
  <si>
    <t>Viscosity is not part of IAPWS Steam IF97. Equations from "Revised Release on the IAPWS Formulation 1985 for the Viscosity of Ordinary Water Substance", 2003 are used.</t>
  </si>
  <si>
    <t>Specific entropy as a function of pressure and temperature (Returns saturated vapour entalpy if mixture.)</t>
  </si>
  <si>
    <t>Thermal Conductivity</t>
  </si>
  <si>
    <t>Revised release on the IAPS Formulation 1985 for the Thermal Conductivity of ordinary water substance (IAPWS 1998)</t>
  </si>
  <si>
    <t>W/(m K)</t>
  </si>
  <si>
    <t>Saturated vapour thermal conductivity</t>
  </si>
  <si>
    <t>Saturated liquid thermal conductivity</t>
  </si>
  <si>
    <t>Thermal conductivity as a function of pressure and temperature.</t>
  </si>
  <si>
    <t>Thermal conductivity as a function of pressure and enthalpy</t>
  </si>
  <si>
    <t>Thermal conductivity as a function of enthalpy and entropy</t>
  </si>
  <si>
    <t>Surface Tension</t>
  </si>
  <si>
    <t>IAPWS Release on Surface Tension of Ordinary Water Substance, September 1994</t>
  </si>
  <si>
    <t>N/m</t>
  </si>
  <si>
    <t>* Thermal conductivity, Surface tension added</t>
  </si>
  <si>
    <t>Surface tension for two phase water/steam as a function of T</t>
  </si>
  <si>
    <t>The excel scripts are stored inside this workbook. (No extra files are needed. Start from a copy of this workbook. This page can be removed)</t>
  </si>
  <si>
    <t>For error-reporting, feedback, other units etc. contact:</t>
  </si>
  <si>
    <t>Entalpy as a function of pressure and density. Observe for low temperatures (liquid) this equation has 2 solutions. (Not valid!!)</t>
  </si>
  <si>
    <t xml:space="preserve">Excel macros, IF-97 Steam tables. </t>
  </si>
  <si>
    <t>The excel scripts are stored inside this workbook. A complete list of functions for use is available on the "Calling functions" worksheet</t>
  </si>
  <si>
    <t>By: Magnus Holmgren</t>
  </si>
  <si>
    <t>www.x-eng.com</t>
  </si>
  <si>
    <t>Saturation properties given temperature</t>
  </si>
  <si>
    <t>Saturation properties given pressure</t>
  </si>
  <si>
    <t>bar a</t>
  </si>
  <si>
    <t>Liquid</t>
  </si>
  <si>
    <t>Entropy</t>
  </si>
  <si>
    <t>Vapour</t>
  </si>
  <si>
    <t>Vapour enthalpy</t>
  </si>
  <si>
    <t>Vapour density</t>
  </si>
  <si>
    <t>Vapour Entropy</t>
  </si>
  <si>
    <t>vapour Entropy</t>
  </si>
  <si>
    <t>Evaporation energy</t>
  </si>
  <si>
    <t>Properties given pressure and temperature</t>
  </si>
  <si>
    <t>Properties given pressure and enthalpy</t>
  </si>
  <si>
    <t>IF97 Region</t>
  </si>
  <si>
    <t>Phase</t>
  </si>
  <si>
    <t xml:space="preserve">Isobaric heat capacity </t>
  </si>
  <si>
    <t>Speed of sound</t>
  </si>
  <si>
    <t>* Calling function h_prho</t>
  </si>
  <si>
    <t>* Fixed problem with Cv reporting NaN in region 5.</t>
  </si>
  <si>
    <t>* Equivivalent to the Matlab version. (Downloadable from www.x-eng.com)</t>
  </si>
  <si>
    <t>News in V2</t>
  </si>
  <si>
    <t>News in V2.1</t>
  </si>
  <si>
    <t>kJ/kg</t>
  </si>
  <si>
    <t>m3/kg</t>
  </si>
  <si>
    <t>kJ/(kg K)</t>
  </si>
  <si>
    <t>m/s</t>
  </si>
  <si>
    <t>Enthalpy</t>
  </si>
  <si>
    <t>Temperature</t>
  </si>
  <si>
    <t>kg/m3</t>
  </si>
  <si>
    <t>bar</t>
  </si>
  <si>
    <t>°C</t>
  </si>
  <si>
    <t xml:space="preserve">Specific entropy </t>
  </si>
  <si>
    <t>Density</t>
  </si>
  <si>
    <t xml:space="preserve">Specific internal energy </t>
  </si>
  <si>
    <t xml:space="preserve">Specific isobaric heat capacity </t>
  </si>
  <si>
    <t xml:space="preserve">Speed of sound </t>
  </si>
  <si>
    <t xml:space="preserve">Specific isochoric heat capacity </t>
  </si>
  <si>
    <t>Pressure</t>
  </si>
  <si>
    <t>Saturation temperature</t>
  </si>
  <si>
    <t>Saturation pressure</t>
  </si>
  <si>
    <t>Specific volume</t>
  </si>
  <si>
    <t>Saturated vapour enthalpy</t>
  </si>
  <si>
    <t>Saturated vapour volume</t>
  </si>
  <si>
    <t>Saturated vapour density</t>
  </si>
  <si>
    <t>Saturated vapour entropy</t>
  </si>
  <si>
    <t>Saturated vapour internal energy</t>
  </si>
  <si>
    <t>Saturated liquid enthalpy</t>
  </si>
  <si>
    <t>Saturated liquid volume</t>
  </si>
  <si>
    <t>Saturated liquid density</t>
  </si>
  <si>
    <t>Saturated liquid entropy</t>
  </si>
  <si>
    <t>Saturated liquid internal energy</t>
  </si>
  <si>
    <t xml:space="preserve">Saturated liquid heat capacity </t>
  </si>
  <si>
    <t xml:space="preserve">Saturated vapour heat capacity </t>
  </si>
  <si>
    <t>Saturated liquid isochoric heat capacity</t>
  </si>
  <si>
    <t>Saturated vapour isochoric heat capacity</t>
  </si>
  <si>
    <t>Saturated liquid speed of sound</t>
  </si>
  <si>
    <t>Saturated vapour speed of sound</t>
  </si>
  <si>
    <t>Vapour fraction</t>
  </si>
  <si>
    <t>Pa s</t>
  </si>
  <si>
    <t>%</t>
  </si>
  <si>
    <t>gets close to the accurancy of steam IF-97</t>
  </si>
  <si>
    <t>Viscosity in the mixed region (4) is interpolated according to the density. This is not true since it will be two fases.</t>
  </si>
  <si>
    <t>OBS: This workbook uses macros. Set security options in Tools:Macro:Security… to enable macros.</t>
  </si>
  <si>
    <t>Temperture as a function of pressure and enthalpy</t>
  </si>
  <si>
    <t>Temperture as a function of pressure and entropy</t>
  </si>
  <si>
    <t>Entalpy as a function of pressure and temperature.</t>
  </si>
  <si>
    <t>Entalpy as a function of pressure and entropy.</t>
  </si>
  <si>
    <t>Observe that vapour volume fraction is very sensitive. Vapour volume is about 1000 times greater than liquid volume and therfore vapour volume fraction</t>
  </si>
  <si>
    <t>The steam tables are free and provided as is. We take no responsibilities for any errors in the code or damage thereby.</t>
  </si>
  <si>
    <t>kJ/kgK</t>
  </si>
  <si>
    <t>X Steam Tables</t>
  </si>
  <si>
    <t>http://www.x-eng.com</t>
  </si>
  <si>
    <t xml:space="preserve">Steam tables by Magnus Holmgren according to IAPWS IF-97 </t>
  </si>
  <si>
    <t xml:space="preserve">Pressure as a function of h and s. </t>
  </si>
  <si>
    <t>magnus@x-eng.com</t>
  </si>
  <si>
    <t>kJ/(kg°C)</t>
  </si>
  <si>
    <t>Entalpy as a function of pressure and vapour fraction</t>
  </si>
  <si>
    <t>Entalpy as a function of temperature and vapour fraction</t>
  </si>
  <si>
    <t>Temperture as a function of enthalpy and entropy</t>
  </si>
  <si>
    <t>Specific volume as a function of pressure and temperature.</t>
  </si>
  <si>
    <t>Specific volume as a function of pressure and enthalpy</t>
  </si>
  <si>
    <t>Specific volume as a function of pressure and entropy.</t>
  </si>
  <si>
    <t>Density as a function of pressure and temperature.</t>
  </si>
  <si>
    <t>Density as a function of pressure and enthalpy</t>
  </si>
  <si>
    <t>Density as a function of pressure and entropy.</t>
  </si>
  <si>
    <t>Specific entropy as a function of pressure and enthalpy</t>
  </si>
  <si>
    <t>Specific internal energy as a function of pressure and temperature.</t>
  </si>
  <si>
    <t>Specific internal energy as a function of pressure and enthalpy</t>
  </si>
  <si>
    <t>Specific internal energy as a function of pressure and entropy.</t>
  </si>
  <si>
    <t>Specific isobaric heat capacity as a function of pressure and temperature.</t>
  </si>
  <si>
    <t>Specific isobaric heat capacity as a function of pressure and enthalpy</t>
  </si>
  <si>
    <t>Specific isobaric heat capacity as a function of pressure and entropy.</t>
  </si>
  <si>
    <t>Specific isochoric heat capacity as a function of pressure and temperature.</t>
  </si>
  <si>
    <t>Specific isochoric heat capacity as a function of pressure and enthalpy</t>
  </si>
  <si>
    <t>Specific isochoric heat capacity as a function of pressure and entropy.</t>
  </si>
  <si>
    <t>Speed of sound as a function of pressure and temperature.</t>
  </si>
  <si>
    <t>Speed of sound as a function of pressure and enthalpy</t>
  </si>
  <si>
    <t>t3</t>
  </si>
  <si>
    <t>h3</t>
  </si>
  <si>
    <t>h4</t>
  </si>
  <si>
    <r>
      <t>p</t>
    </r>
    <r>
      <rPr>
        <sz val="10"/>
        <rFont val="Arial"/>
        <family val="2"/>
      </rPr>
      <t>, bar</t>
    </r>
  </si>
  <si>
    <r>
      <t>t</t>
    </r>
    <r>
      <rPr>
        <sz val="10"/>
        <rFont val="Arial"/>
        <family val="2"/>
      </rPr>
      <t>, °C</t>
    </r>
  </si>
  <si>
    <r>
      <t>h</t>
    </r>
    <r>
      <rPr>
        <sz val="10"/>
        <rFont val="Arial"/>
        <family val="2"/>
      </rPr>
      <t>, kJ/kg</t>
    </r>
  </si>
  <si>
    <r>
      <t>s</t>
    </r>
    <r>
      <rPr>
        <sz val="10"/>
        <rFont val="Arial"/>
        <family val="2"/>
      </rPr>
      <t>, kJ/(kg·K)</t>
    </r>
  </si>
  <si>
    <t>kazán</t>
  </si>
  <si>
    <t>csővez.</t>
  </si>
  <si>
    <t>mech.</t>
  </si>
  <si>
    <t>gen.</t>
  </si>
  <si>
    <t>transz.</t>
  </si>
  <si>
    <t>MW</t>
  </si>
  <si>
    <t>t4</t>
  </si>
  <si>
    <t>m1</t>
  </si>
  <si>
    <t>m8</t>
  </si>
  <si>
    <t>m9</t>
  </si>
  <si>
    <t>Pturbina</t>
  </si>
  <si>
    <t>Pszivattyú</t>
  </si>
  <si>
    <t>Qbe</t>
  </si>
  <si>
    <t>eta_KE</t>
  </si>
  <si>
    <t>h5</t>
  </si>
  <si>
    <t>kg/s</t>
  </si>
  <si>
    <t>t8</t>
  </si>
  <si>
    <t>t9</t>
  </si>
  <si>
    <t>h8</t>
  </si>
  <si>
    <t>h9</t>
  </si>
  <si>
    <t>h10</t>
  </si>
  <si>
    <t>h11</t>
  </si>
  <si>
    <t>p8</t>
  </si>
  <si>
    <t>p9</t>
  </si>
  <si>
    <t>h12</t>
  </si>
  <si>
    <t>tsat_max</t>
  </si>
  <si>
    <t>t8_valós</t>
  </si>
  <si>
    <t>t9_valós</t>
  </si>
  <si>
    <r>
      <rPr>
        <b/>
        <sz val="10"/>
        <rFont val="Palatino Linotype"/>
        <family val="1"/>
      </rPr>
      <t>Δ</t>
    </r>
    <r>
      <rPr>
        <b/>
        <sz val="10"/>
        <rFont val="Arial"/>
        <family val="2"/>
      </rPr>
      <t>T TH</t>
    </r>
  </si>
  <si>
    <t>-----</t>
  </si>
  <si>
    <t>Egyéb hatásfokok</t>
  </si>
  <si>
    <t>Φ</t>
  </si>
  <si>
    <t>cp</t>
  </si>
  <si>
    <t>kJ/kg/K</t>
  </si>
  <si>
    <r>
      <t xml:space="preserve">m, </t>
    </r>
    <r>
      <rPr>
        <sz val="10"/>
        <rFont val="Arial"/>
        <family val="2"/>
      </rPr>
      <t>kg/s</t>
    </r>
  </si>
  <si>
    <t>"A" jelű előmelegítő</t>
  </si>
  <si>
    <t>Előmelegítő előrekeveréssel</t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</si>
  <si>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, kW/(m</t>
    </r>
    <r>
      <rPr>
        <sz val="10"/>
        <rFont val="Arial"/>
        <family val="2"/>
      </rPr>
      <t>2</t>
    </r>
    <r>
      <rPr>
        <sz val="10"/>
        <rFont val="MaplePi"/>
        <family val="0"/>
      </rPr>
      <t>×</t>
    </r>
    <r>
      <rPr>
        <sz val="10"/>
        <rFont val="Arial"/>
        <family val="2"/>
      </rPr>
      <t>K):</t>
    </r>
  </si>
  <si>
    <t>Fajlagos entalpia</t>
  </si>
  <si>
    <t>Tömegáram</t>
  </si>
  <si>
    <t>Hatásfokszámítás</t>
  </si>
  <si>
    <t>Hőmérséklet</t>
  </si>
  <si>
    <t>Túlhevítés vizsgálatához</t>
  </si>
  <si>
    <t>Változtassuk a tápvíz-előmelegítés véghőmérsékletét (az egyes fokozatok között számtani fokozatbeosztást alkalmazva), és értékeljük a kapott eredményeket!</t>
  </si>
  <si>
    <t>ITERATÍV MEGOLDÁSI MÓDSZER!!!</t>
  </si>
  <si>
    <t>Számítási beállítások: Manuális</t>
  </si>
  <si>
    <t>Iterációs kör (előrekeveréses hőcserélőre) számítási összefüggésekkel:</t>
  </si>
  <si>
    <r>
      <rPr>
        <i/>
        <sz val="10"/>
        <rFont val="Arial"/>
        <family val="2"/>
      </rPr>
      <t>A</t>
    </r>
    <r>
      <rPr>
        <sz val="10"/>
        <rFont val="Arial"/>
        <family val="2"/>
      </rPr>
      <t>, m</t>
    </r>
    <r>
      <rPr>
        <sz val="10"/>
        <rFont val="Arial"/>
        <family val="2"/>
      </rPr>
      <t>2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</si>
</sst>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0.0000E+00"/>
    <numFmt numFmtId="185" formatCode="0.0"/>
    <numFmt numFmtId="186" formatCode="0.00000E+00"/>
    <numFmt numFmtId="187" formatCode="0.000000E+00"/>
    <numFmt numFmtId="188" formatCode="[$€-2]\ #,##0.00_);[Red]\([$€-2]\ #,##0.00\)"/>
    <numFmt numFmtId="189" formatCode="0.000"/>
    <numFmt numFmtId="190" formatCode="0.0000000"/>
    <numFmt numFmtId="191" formatCode="0.00000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0.0000000E+00"/>
    <numFmt numFmtId="196" formatCode="&quot;Igen&quot;;&quot;Igen&quot;;&quot;Nem&quot;"/>
    <numFmt numFmtId="197" formatCode="&quot;Igaz&quot;;&quot;Igaz&quot;;&quot;Hamis&quot;"/>
    <numFmt numFmtId="198" formatCode="&quot;Be&quot;;&quot;Be&quot;;&quot;Ki&quot;"/>
    <numFmt numFmtId="199" formatCode="[$€-2]\ #\ ##,000_);[Red]\([$€-2]\ #\ ##,000\)"/>
    <numFmt numFmtId="200" formatCode="[$-40E]yyyy\.\ mmmm\ d\."/>
    <numFmt numFmtId="201" formatCode="0.0%"/>
    <numFmt numFmtId="202" formatCode="0.000%"/>
    <numFmt numFmtId="203" formatCode="0.0000%"/>
    <numFmt numFmtId="204" formatCode="0.00000%"/>
    <numFmt numFmtId="205" formatCode="0.000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b/>
      <u val="single"/>
      <sz val="8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Symbol"/>
      <family val="1"/>
    </font>
    <font>
      <b/>
      <sz val="10"/>
      <name val="Palatino Linotype"/>
      <family val="1"/>
    </font>
    <font>
      <b/>
      <sz val="10"/>
      <name val="Times New Roman"/>
      <family val="1"/>
    </font>
    <font>
      <sz val="10"/>
      <name val="MapleP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41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>
      <alignment/>
      <protection/>
    </xf>
    <xf numFmtId="0" fontId="5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3" fontId="1" fillId="0" borderId="0" xfId="0" applyNumberFormat="1" applyFont="1" applyAlignment="1">
      <alignment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9" fillId="0" borderId="0" xfId="43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0" xfId="0" applyFont="1" applyAlignment="1">
      <alignment/>
    </xf>
    <xf numFmtId="0" fontId="9" fillId="0" borderId="0" xfId="43" applyFont="1" applyAlignment="1" applyProtection="1">
      <alignment/>
      <protection/>
    </xf>
    <xf numFmtId="0" fontId="2" fillId="0" borderId="0" xfId="43" applyAlignment="1" applyProtection="1">
      <alignment/>
      <protection/>
    </xf>
    <xf numFmtId="0" fontId="1" fillId="0" borderId="0" xfId="0" applyFont="1" applyFill="1" applyBorder="1" applyAlignment="1">
      <alignment/>
    </xf>
    <xf numFmtId="18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185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15" xfId="0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89" fontId="1" fillId="34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14" fillId="0" borderId="0" xfId="0" applyFont="1" applyAlignment="1">
      <alignment/>
    </xf>
    <xf numFmtId="183" fontId="57" fillId="0" borderId="0" xfId="0" applyNumberFormat="1" applyFont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57" fillId="0" borderId="0" xfId="0" applyNumberFormat="1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85" fontId="57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 quotePrefix="1">
      <alignment horizontal="center" vertical="center"/>
    </xf>
    <xf numFmtId="183" fontId="5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2" fontId="0" fillId="0" borderId="0" xfId="0" applyNumberFormat="1" applyFont="1" applyAlignment="1" quotePrefix="1">
      <alignment horizontal="center" vertical="center"/>
    </xf>
    <xf numFmtId="1" fontId="0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2" fontId="0" fillId="0" borderId="0" xfId="0" applyNumberFormat="1" applyFont="1" applyBorder="1" applyAlignment="1" quotePrefix="1">
      <alignment horizontal="center" vertical="center"/>
    </xf>
    <xf numFmtId="183" fontId="0" fillId="0" borderId="0" xfId="0" applyNumberFormat="1" applyFont="1" applyBorder="1" applyAlignment="1" quotePrefix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85" fontId="5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5" borderId="0" xfId="56" applyFont="1" applyFill="1" applyBorder="1" applyAlignment="1">
      <alignment horizontal="center" vertical="center"/>
      <protection/>
    </xf>
    <xf numFmtId="189" fontId="5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0" fillId="35" borderId="10" xfId="56" applyFont="1" applyFill="1" applyBorder="1" applyAlignment="1">
      <alignment horizontal="center" vertical="center"/>
      <protection/>
    </xf>
    <xf numFmtId="0" fontId="0" fillId="35" borderId="11" xfId="56" applyFont="1" applyFill="1" applyBorder="1" applyAlignment="1" quotePrefix="1">
      <alignment horizontal="center" vertical="center"/>
      <protection/>
    </xf>
    <xf numFmtId="2" fontId="57" fillId="0" borderId="10" xfId="0" applyNumberFormat="1" applyFont="1" applyBorder="1" applyAlignment="1">
      <alignment horizontal="center" vertical="center"/>
    </xf>
    <xf numFmtId="183" fontId="57" fillId="0" borderId="11" xfId="0" applyNumberFormat="1" applyFont="1" applyBorder="1" applyAlignment="1" quotePrefix="1">
      <alignment horizontal="center" vertical="center"/>
    </xf>
    <xf numFmtId="2" fontId="57" fillId="0" borderId="12" xfId="0" applyNumberFormat="1" applyFont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/>
    </xf>
    <xf numFmtId="183" fontId="57" fillId="0" borderId="13" xfId="0" applyNumberFormat="1" applyFont="1" applyBorder="1" applyAlignment="1">
      <alignment horizontal="center" vertical="center"/>
    </xf>
    <xf numFmtId="189" fontId="57" fillId="0" borderId="13" xfId="0" applyNumberFormat="1" applyFont="1" applyBorder="1" applyAlignment="1">
      <alignment horizontal="center" vertical="center"/>
    </xf>
    <xf numFmtId="183" fontId="57" fillId="0" borderId="14" xfId="0" applyNumberFormat="1" applyFont="1" applyBorder="1" applyAlignment="1" quotePrefix="1">
      <alignment horizontal="center" vertical="center"/>
    </xf>
    <xf numFmtId="183" fontId="57" fillId="0" borderId="11" xfId="0" applyNumberFormat="1" applyFont="1" applyBorder="1" applyAlignment="1">
      <alignment horizontal="center" vertical="center"/>
    </xf>
    <xf numFmtId="183" fontId="57" fillId="0" borderId="14" xfId="0" applyNumberFormat="1" applyFont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0" fillId="35" borderId="11" xfId="56" applyFont="1" applyFill="1" applyBorder="1" applyAlignment="1">
      <alignment horizontal="center" vertical="center"/>
      <protection/>
    </xf>
    <xf numFmtId="2" fontId="57" fillId="0" borderId="11" xfId="0" applyNumberFormat="1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189" fontId="57" fillId="0" borderId="10" xfId="0" applyNumberFormat="1" applyFont="1" applyBorder="1" applyAlignment="1">
      <alignment horizontal="center" vertical="center"/>
    </xf>
    <xf numFmtId="189" fontId="57" fillId="0" borderId="0" xfId="0" applyNumberFormat="1" applyFont="1" applyBorder="1" applyAlignment="1" quotePrefix="1">
      <alignment horizontal="center" vertical="center"/>
    </xf>
    <xf numFmtId="189" fontId="57" fillId="0" borderId="12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 quotePrefix="1">
      <alignment horizontal="center" vertical="center"/>
    </xf>
    <xf numFmtId="2" fontId="57" fillId="0" borderId="0" xfId="63" applyNumberFormat="1" applyFont="1" applyBorder="1" applyAlignment="1">
      <alignment horizontal="center" vertical="center"/>
    </xf>
    <xf numFmtId="10" fontId="57" fillId="0" borderId="11" xfId="0" applyNumberFormat="1" applyFont="1" applyBorder="1" applyAlignment="1">
      <alignment horizontal="center" vertical="center"/>
    </xf>
    <xf numFmtId="2" fontId="57" fillId="0" borderId="12" xfId="0" applyNumberFormat="1" applyFont="1" applyBorder="1" applyAlignment="1" quotePrefix="1">
      <alignment horizontal="center" vertical="center"/>
    </xf>
    <xf numFmtId="2" fontId="57" fillId="0" borderId="13" xfId="63" applyNumberFormat="1" applyFont="1" applyBorder="1" applyAlignment="1">
      <alignment horizontal="center" vertical="center"/>
    </xf>
    <xf numFmtId="10" fontId="57" fillId="0" borderId="1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2" fontId="57" fillId="0" borderId="11" xfId="0" applyNumberFormat="1" applyFont="1" applyBorder="1" applyAlignment="1">
      <alignment horizontal="center" vertical="center"/>
    </xf>
    <xf numFmtId="2" fontId="57" fillId="0" borderId="12" xfId="0" applyNumberFormat="1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0" fontId="0" fillId="35" borderId="10" xfId="56" applyFont="1" applyFill="1" applyBorder="1" applyAlignment="1">
      <alignment horizontal="center" vertical="center"/>
      <protection/>
    </xf>
    <xf numFmtId="0" fontId="0" fillId="35" borderId="11" xfId="56" applyFont="1" applyFill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-0.00825"/>
          <c:w val="0.9445"/>
          <c:h val="0.922"/>
        </c:manualLayout>
      </c:layout>
      <c:scatterChart>
        <c:scatterStyle val="smoothMarker"/>
        <c:varyColors val="0"/>
        <c:ser>
          <c:idx val="0"/>
          <c:order val="0"/>
          <c:tx>
            <c:v>Eredő hatásfok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'tve véghőmérséklet'!$A$23:$A$76</c:f>
              <c:numCache/>
            </c:numRef>
          </c:xVal>
          <c:yVal>
            <c:numRef>
              <c:f>'tve véghőmérséklet'!$AF$23:$AF$76</c:f>
              <c:numCache/>
            </c:numRef>
          </c:yVal>
          <c:smooth val="1"/>
        </c:ser>
        <c:axId val="53642174"/>
        <c:axId val="13017519"/>
      </c:scatterChart>
      <c:val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Tápvízelőmelegítés véghőmérséklete 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crossBetween val="midCat"/>
        <c:dispUnits/>
      </c:valAx>
      <c:valAx>
        <c:axId val="13017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Eredő hatásfok [%]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1</xdr:row>
      <xdr:rowOff>19050</xdr:rowOff>
    </xdr:from>
    <xdr:to>
      <xdr:col>26</xdr:col>
      <xdr:colOff>85725</xdr:colOff>
      <xdr:row>17</xdr:row>
      <xdr:rowOff>152400</xdr:rowOff>
    </xdr:to>
    <xdr:graphicFrame>
      <xdr:nvGraphicFramePr>
        <xdr:cNvPr id="1" name="Diagram 1"/>
        <xdr:cNvGraphicFramePr/>
      </xdr:nvGraphicFramePr>
      <xdr:xfrm>
        <a:off x="11334750" y="190500"/>
        <a:ext cx="7239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hyperlink" Target="mailto:magnus@x-eng.co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2"/>
  <sheetViews>
    <sheetView tabSelected="1" zoomScale="80" zoomScaleNormal="80" zoomScalePageLayoutView="0" workbookViewId="0" topLeftCell="A1">
      <selection activeCell="AE23" sqref="AE23"/>
    </sheetView>
  </sheetViews>
  <sheetFormatPr defaultColWidth="9.140625" defaultRowHeight="12.75"/>
  <cols>
    <col min="1" max="1" width="9.140625" style="2" customWidth="1"/>
    <col min="2" max="2" width="10.57421875" style="2" customWidth="1"/>
    <col min="3" max="3" width="9.28125" style="2" customWidth="1"/>
    <col min="4" max="4" width="9.7109375" style="2" customWidth="1"/>
    <col min="5" max="5" width="10.421875" style="2" customWidth="1"/>
    <col min="6" max="11" width="12.7109375" style="2" customWidth="1"/>
    <col min="12" max="12" width="12.421875" style="2" bestFit="1" customWidth="1"/>
    <col min="13" max="13" width="12.8515625" style="2" customWidth="1"/>
    <col min="14" max="18" width="9.140625" style="2" customWidth="1"/>
    <col min="19" max="19" width="9.57421875" style="2" bestFit="1" customWidth="1"/>
    <col min="20" max="23" width="9.140625" style="2" customWidth="1"/>
    <col min="24" max="24" width="10.7109375" style="2" customWidth="1"/>
    <col min="25" max="26" width="12.00390625" style="2" customWidth="1"/>
    <col min="27" max="27" width="9.57421875" style="2" customWidth="1"/>
    <col min="28" max="28" width="10.140625" style="2" bestFit="1" customWidth="1"/>
    <col min="29" max="29" width="12.140625" style="2" bestFit="1" customWidth="1"/>
    <col min="30" max="30" width="10.28125" style="2" bestFit="1" customWidth="1"/>
    <col min="31" max="31" width="11.28125" style="2" bestFit="1" customWidth="1"/>
    <col min="32" max="32" width="10.28125" style="2" bestFit="1" customWidth="1"/>
    <col min="33" max="16384" width="9.140625" style="2" customWidth="1"/>
  </cols>
  <sheetData>
    <row r="1" ht="13.5" thickBot="1"/>
    <row r="2" spans="1:16" ht="14.25" customHeight="1" thickBot="1">
      <c r="A2" s="51"/>
      <c r="B2" s="51"/>
      <c r="C2" s="51"/>
      <c r="F2" s="42"/>
      <c r="G2" s="53" t="s">
        <v>249</v>
      </c>
      <c r="H2" s="53" t="s">
        <v>250</v>
      </c>
      <c r="I2" s="53" t="s">
        <v>251</v>
      </c>
      <c r="J2" s="55" t="s">
        <v>252</v>
      </c>
      <c r="K2" s="55" t="s">
        <v>287</v>
      </c>
      <c r="L2" s="71"/>
      <c r="M2" s="72" t="s">
        <v>283</v>
      </c>
      <c r="N2" s="71"/>
      <c r="O2" s="54"/>
      <c r="P2" s="43"/>
    </row>
    <row r="3" spans="1:16" ht="15" customHeight="1">
      <c r="A3" s="51"/>
      <c r="B3" s="51"/>
      <c r="C3" s="51"/>
      <c r="F3" s="57">
        <v>1</v>
      </c>
      <c r="G3" s="51">
        <v>0.05</v>
      </c>
      <c r="H3" s="52">
        <f>Tsat_p(G3)</f>
        <v>32.875489523760166</v>
      </c>
      <c r="I3" s="50">
        <f>hL_p(G3)</f>
        <v>137.76511898849057</v>
      </c>
      <c r="J3" s="49">
        <f>sL_p(G3)</f>
        <v>0.47625378950510244</v>
      </c>
      <c r="K3" s="62" t="s">
        <v>282</v>
      </c>
      <c r="L3" s="71"/>
      <c r="M3" s="71" t="s">
        <v>253</v>
      </c>
      <c r="N3" s="73">
        <v>0.92</v>
      </c>
      <c r="O3" s="45"/>
      <c r="P3" s="45"/>
    </row>
    <row r="4" spans="1:16" ht="15" customHeight="1">
      <c r="A4" s="51"/>
      <c r="B4" s="51"/>
      <c r="C4" s="51"/>
      <c r="F4" s="57">
        <v>2</v>
      </c>
      <c r="G4" s="51">
        <f>G8</f>
        <v>160</v>
      </c>
      <c r="H4" s="58">
        <f>T_ps(G4,J4)</f>
        <v>33.26683485737965</v>
      </c>
      <c r="I4" s="56">
        <f>h_ps(G4,J4)</f>
        <v>153.77645567509933</v>
      </c>
      <c r="J4" s="60">
        <f>J3</f>
        <v>0.47625378950510244</v>
      </c>
      <c r="K4" s="62" t="s">
        <v>282</v>
      </c>
      <c r="L4" s="71"/>
      <c r="M4" s="71" t="s">
        <v>254</v>
      </c>
      <c r="N4" s="73">
        <v>0.98</v>
      </c>
      <c r="O4" s="45"/>
      <c r="P4" s="45"/>
    </row>
    <row r="5" spans="1:16" ht="12.75" customHeight="1">
      <c r="A5" s="51"/>
      <c r="B5" s="51"/>
      <c r="C5" s="51"/>
      <c r="F5" s="57">
        <v>3</v>
      </c>
      <c r="G5" s="51">
        <f>G8</f>
        <v>160</v>
      </c>
      <c r="H5" s="59" t="s">
        <v>282</v>
      </c>
      <c r="I5" s="67" t="s">
        <v>282</v>
      </c>
      <c r="J5" s="68" t="s">
        <v>282</v>
      </c>
      <c r="K5" s="62" t="s">
        <v>282</v>
      </c>
      <c r="L5" s="71"/>
      <c r="M5" s="71" t="s">
        <v>255</v>
      </c>
      <c r="N5" s="73">
        <v>0.985</v>
      </c>
      <c r="O5" s="45"/>
      <c r="P5" s="45"/>
    </row>
    <row r="6" spans="1:16" ht="12.75" customHeight="1">
      <c r="A6" s="51"/>
      <c r="B6" s="51"/>
      <c r="C6" s="51"/>
      <c r="F6" s="57">
        <v>4</v>
      </c>
      <c r="G6" s="51">
        <f>G8</f>
        <v>160</v>
      </c>
      <c r="H6" s="59" t="s">
        <v>282</v>
      </c>
      <c r="I6" s="67" t="s">
        <v>282</v>
      </c>
      <c r="J6" s="68" t="s">
        <v>282</v>
      </c>
      <c r="K6" s="62" t="s">
        <v>282</v>
      </c>
      <c r="L6" s="71"/>
      <c r="M6" s="71" t="s">
        <v>256</v>
      </c>
      <c r="N6" s="73">
        <v>0.985</v>
      </c>
      <c r="O6" s="45"/>
      <c r="P6" s="45"/>
    </row>
    <row r="7" spans="1:16" ht="12.75" customHeight="1">
      <c r="A7" s="51"/>
      <c r="B7" s="51"/>
      <c r="C7" s="51"/>
      <c r="F7" s="57">
        <v>5</v>
      </c>
      <c r="G7" s="51">
        <f>G8</f>
        <v>160</v>
      </c>
      <c r="H7" s="59" t="s">
        <v>282</v>
      </c>
      <c r="I7" s="67" t="s">
        <v>282</v>
      </c>
      <c r="J7" s="68" t="s">
        <v>282</v>
      </c>
      <c r="K7" s="51">
        <v>150</v>
      </c>
      <c r="L7" s="71"/>
      <c r="M7" s="71" t="s">
        <v>257</v>
      </c>
      <c r="N7" s="73">
        <v>0.985</v>
      </c>
      <c r="O7" s="45"/>
      <c r="P7" s="45"/>
    </row>
    <row r="8" spans="1:16" ht="12.75" customHeight="1">
      <c r="A8" s="51"/>
      <c r="B8" s="51"/>
      <c r="C8" s="51"/>
      <c r="F8" s="57">
        <v>6</v>
      </c>
      <c r="G8" s="51">
        <v>160</v>
      </c>
      <c r="H8" s="61">
        <v>550</v>
      </c>
      <c r="I8" s="56">
        <f>h_pt(G8,H8)</f>
        <v>3439.8496016612644</v>
      </c>
      <c r="J8" s="60">
        <f>s_pT(G8,H8)</f>
        <v>6.483249024579735</v>
      </c>
      <c r="K8" s="62" t="s">
        <v>282</v>
      </c>
      <c r="L8" s="71"/>
      <c r="M8" s="71"/>
      <c r="N8" s="71"/>
      <c r="P8" s="46"/>
    </row>
    <row r="9" spans="1:16" ht="12.75" customHeight="1">
      <c r="A9" s="51"/>
      <c r="B9" s="51"/>
      <c r="C9" s="51"/>
      <c r="F9" s="57">
        <v>7</v>
      </c>
      <c r="G9" s="51">
        <f>G3</f>
        <v>0.05</v>
      </c>
      <c r="H9" s="70">
        <f>Tsat_p(G9)</f>
        <v>32.875489523760166</v>
      </c>
      <c r="I9" s="56">
        <f>h_ps(G9,J9)</f>
        <v>1976.0542009969006</v>
      </c>
      <c r="J9" s="60">
        <f>J8</f>
        <v>6.483249024579735</v>
      </c>
      <c r="K9" s="62" t="s">
        <v>282</v>
      </c>
      <c r="O9" s="45"/>
      <c r="P9" s="45"/>
    </row>
    <row r="10" spans="1:16" ht="12.75" customHeight="1">
      <c r="A10" s="51"/>
      <c r="B10" s="51"/>
      <c r="C10" s="51"/>
      <c r="F10" s="57">
        <v>8</v>
      </c>
      <c r="G10" s="62" t="s">
        <v>282</v>
      </c>
      <c r="H10" s="63" t="s">
        <v>282</v>
      </c>
      <c r="I10" s="67" t="s">
        <v>282</v>
      </c>
      <c r="J10" s="60">
        <f>J9</f>
        <v>6.483249024579735</v>
      </c>
      <c r="K10" s="62" t="s">
        <v>282</v>
      </c>
      <c r="M10" s="71" t="s">
        <v>290</v>
      </c>
      <c r="N10" s="109">
        <v>2</v>
      </c>
      <c r="O10" s="45"/>
      <c r="P10" s="45"/>
    </row>
    <row r="11" spans="1:16" ht="12.75" customHeight="1">
      <c r="A11" s="51"/>
      <c r="B11" s="51"/>
      <c r="C11" s="51"/>
      <c r="F11" s="57">
        <v>9</v>
      </c>
      <c r="G11" s="64" t="s">
        <v>282</v>
      </c>
      <c r="H11" s="65" t="s">
        <v>282</v>
      </c>
      <c r="I11" s="67" t="s">
        <v>282</v>
      </c>
      <c r="J11" s="60">
        <f>J10</f>
        <v>6.483249024579735</v>
      </c>
      <c r="K11" s="62" t="s">
        <v>282</v>
      </c>
      <c r="M11" s="76" t="s">
        <v>300</v>
      </c>
      <c r="N11" s="109">
        <v>500</v>
      </c>
      <c r="O11" s="45"/>
      <c r="P11" s="45"/>
    </row>
    <row r="12" spans="1:16" ht="12.75" customHeight="1">
      <c r="A12" s="51"/>
      <c r="B12" s="51"/>
      <c r="C12" s="51"/>
      <c r="F12" s="57">
        <v>10</v>
      </c>
      <c r="G12" s="62" t="s">
        <v>282</v>
      </c>
      <c r="H12" s="63" t="s">
        <v>282</v>
      </c>
      <c r="I12" s="63" t="s">
        <v>282</v>
      </c>
      <c r="J12" s="63" t="s">
        <v>282</v>
      </c>
      <c r="K12" s="62" t="s">
        <v>282</v>
      </c>
      <c r="O12" s="45"/>
      <c r="P12" s="45"/>
    </row>
    <row r="13" spans="1:16" ht="12.75" customHeight="1">
      <c r="A13" s="51"/>
      <c r="B13" s="51"/>
      <c r="C13" s="51"/>
      <c r="F13" s="57">
        <v>11</v>
      </c>
      <c r="G13" s="62" t="s">
        <v>282</v>
      </c>
      <c r="H13" s="59" t="s">
        <v>282</v>
      </c>
      <c r="I13" s="63" t="s">
        <v>282</v>
      </c>
      <c r="J13" s="63" t="s">
        <v>282</v>
      </c>
      <c r="K13" s="62" t="s">
        <v>282</v>
      </c>
      <c r="O13" s="45"/>
      <c r="P13" s="45"/>
    </row>
    <row r="14" spans="1:16" ht="12.75" customHeight="1">
      <c r="A14" s="51"/>
      <c r="B14" s="51"/>
      <c r="C14" s="51"/>
      <c r="F14" s="57">
        <v>12</v>
      </c>
      <c r="G14" s="51">
        <f>G8</f>
        <v>160</v>
      </c>
      <c r="H14" s="59" t="s">
        <v>282</v>
      </c>
      <c r="I14" s="66" t="s">
        <v>282</v>
      </c>
      <c r="J14" s="63" t="s">
        <v>282</v>
      </c>
      <c r="K14" s="62" t="s">
        <v>282</v>
      </c>
      <c r="O14" s="45"/>
      <c r="P14" s="45"/>
    </row>
    <row r="15" ht="12.75" customHeight="1">
      <c r="B15" s="44"/>
    </row>
    <row r="16" spans="1:7" ht="12.75">
      <c r="A16" s="48"/>
      <c r="B16" s="69"/>
      <c r="G16" s="47"/>
    </row>
    <row r="17" spans="3:10" ht="12.75">
      <c r="C17" s="45"/>
      <c r="G17" s="47"/>
      <c r="J17" s="47"/>
    </row>
    <row r="18" ht="18" customHeight="1">
      <c r="A18" s="108" t="s">
        <v>296</v>
      </c>
    </row>
    <row r="20" spans="1:32" ht="12.75">
      <c r="A20" s="110" t="s">
        <v>294</v>
      </c>
      <c r="B20" s="110"/>
      <c r="C20" s="110" t="s">
        <v>288</v>
      </c>
      <c r="D20" s="110"/>
      <c r="E20" s="110"/>
      <c r="F20" s="110"/>
      <c r="G20" s="110"/>
      <c r="H20" s="110"/>
      <c r="I20" s="110" t="s">
        <v>295</v>
      </c>
      <c r="J20" s="110"/>
      <c r="K20" s="110" t="s">
        <v>289</v>
      </c>
      <c r="L20" s="110"/>
      <c r="M20" s="110"/>
      <c r="N20" s="110"/>
      <c r="O20" s="110"/>
      <c r="P20" s="110"/>
      <c r="Q20" s="110" t="s">
        <v>291</v>
      </c>
      <c r="R20" s="110"/>
      <c r="S20" s="110"/>
      <c r="T20" s="110"/>
      <c r="U20" s="110"/>
      <c r="V20" s="110"/>
      <c r="W20" s="110"/>
      <c r="X20" s="110"/>
      <c r="Y20" s="113" t="s">
        <v>292</v>
      </c>
      <c r="Z20" s="113"/>
      <c r="AA20" s="113"/>
      <c r="AB20" s="113"/>
      <c r="AC20" s="110" t="s">
        <v>293</v>
      </c>
      <c r="AD20" s="110"/>
      <c r="AE20" s="110"/>
      <c r="AF20" s="110"/>
    </row>
    <row r="21" spans="1:32" ht="15">
      <c r="A21" s="77" t="s">
        <v>259</v>
      </c>
      <c r="B21" s="91" t="s">
        <v>246</v>
      </c>
      <c r="C21" s="77" t="s">
        <v>269</v>
      </c>
      <c r="D21" s="78" t="s">
        <v>279</v>
      </c>
      <c r="E21" s="78" t="s">
        <v>275</v>
      </c>
      <c r="F21" s="78" t="s">
        <v>281</v>
      </c>
      <c r="G21" s="78" t="s">
        <v>285</v>
      </c>
      <c r="H21" s="79" t="s">
        <v>284</v>
      </c>
      <c r="I21" s="111" t="s">
        <v>278</v>
      </c>
      <c r="J21" s="112"/>
      <c r="K21" s="77" t="s">
        <v>270</v>
      </c>
      <c r="L21" s="78" t="s">
        <v>280</v>
      </c>
      <c r="M21" s="78" t="s">
        <v>276</v>
      </c>
      <c r="N21" s="78" t="s">
        <v>281</v>
      </c>
      <c r="O21" s="78" t="s">
        <v>285</v>
      </c>
      <c r="P21" s="79" t="s">
        <v>284</v>
      </c>
      <c r="Q21" s="77" t="s">
        <v>247</v>
      </c>
      <c r="R21" s="78" t="s">
        <v>248</v>
      </c>
      <c r="S21" s="78" t="s">
        <v>267</v>
      </c>
      <c r="T21" s="78" t="s">
        <v>271</v>
      </c>
      <c r="U21" s="78" t="s">
        <v>272</v>
      </c>
      <c r="V21" s="78" t="s">
        <v>273</v>
      </c>
      <c r="W21" s="78" t="s">
        <v>274</v>
      </c>
      <c r="X21" s="91" t="s">
        <v>277</v>
      </c>
      <c r="Y21" s="77" t="s">
        <v>262</v>
      </c>
      <c r="Z21" s="78"/>
      <c r="AA21" s="78" t="s">
        <v>261</v>
      </c>
      <c r="AB21" s="91" t="s">
        <v>260</v>
      </c>
      <c r="AC21" s="77" t="s">
        <v>263</v>
      </c>
      <c r="AD21" s="78" t="s">
        <v>264</v>
      </c>
      <c r="AE21" s="78" t="s">
        <v>265</v>
      </c>
      <c r="AF21" s="91" t="s">
        <v>266</v>
      </c>
    </row>
    <row r="22" spans="1:32" ht="12.75">
      <c r="A22" s="80" t="s">
        <v>179</v>
      </c>
      <c r="B22" s="92" t="s">
        <v>179</v>
      </c>
      <c r="C22" s="80" t="s">
        <v>179</v>
      </c>
      <c r="D22" s="74" t="s">
        <v>179</v>
      </c>
      <c r="E22" s="74" t="s">
        <v>178</v>
      </c>
      <c r="F22" s="74" t="s">
        <v>179</v>
      </c>
      <c r="G22" s="74" t="s">
        <v>286</v>
      </c>
      <c r="H22" s="81" t="s">
        <v>11</v>
      </c>
      <c r="I22" s="118" t="s">
        <v>179</v>
      </c>
      <c r="J22" s="119"/>
      <c r="K22" s="80" t="s">
        <v>179</v>
      </c>
      <c r="L22" s="74" t="s">
        <v>179</v>
      </c>
      <c r="M22" s="74" t="s">
        <v>178</v>
      </c>
      <c r="N22" s="74" t="s">
        <v>179</v>
      </c>
      <c r="O22" s="74" t="s">
        <v>286</v>
      </c>
      <c r="P22" s="81" t="s">
        <v>11</v>
      </c>
      <c r="Q22" s="80" t="s">
        <v>171</v>
      </c>
      <c r="R22" s="74" t="s">
        <v>171</v>
      </c>
      <c r="S22" s="74" t="s">
        <v>171</v>
      </c>
      <c r="T22" s="74" t="s">
        <v>171</v>
      </c>
      <c r="U22" s="74" t="s">
        <v>171</v>
      </c>
      <c r="V22" s="74" t="s">
        <v>171</v>
      </c>
      <c r="W22" s="74" t="s">
        <v>171</v>
      </c>
      <c r="X22" s="92" t="s">
        <v>171</v>
      </c>
      <c r="Y22" s="80" t="s">
        <v>268</v>
      </c>
      <c r="Z22" s="74"/>
      <c r="AA22" s="74" t="s">
        <v>268</v>
      </c>
      <c r="AB22" s="92" t="s">
        <v>268</v>
      </c>
      <c r="AC22" s="80" t="s">
        <v>258</v>
      </c>
      <c r="AD22" s="74" t="s">
        <v>258</v>
      </c>
      <c r="AE22" s="74" t="s">
        <v>258</v>
      </c>
      <c r="AF22" s="92" t="s">
        <v>208</v>
      </c>
    </row>
    <row r="23" spans="1:32" ht="12.75">
      <c r="A23" s="104">
        <v>35</v>
      </c>
      <c r="B23" s="93">
        <f>AVERAGE($H$4,A23)</f>
        <v>34.133417428689825</v>
      </c>
      <c r="C23" s="82">
        <f>(B23-$H$4)/H23+$H$4</f>
        <v>34.34896822997894</v>
      </c>
      <c r="D23" s="56">
        <f aca="true" t="shared" si="0" ref="D23:D54">IF(C23&gt;I23,T_ps(E23,$J$10),C23)</f>
        <v>34.34896822997894</v>
      </c>
      <c r="E23" s="60">
        <f>psat_t(C23)</f>
        <v>0.05429091147070281</v>
      </c>
      <c r="F23" s="56">
        <f>D23-C23</f>
        <v>0</v>
      </c>
      <c r="G23" s="75">
        <f>Cp_pT($G$4,AVERAGE($H$4,B23))</f>
        <v>4.139867530233026</v>
      </c>
      <c r="H23" s="83">
        <f aca="true" t="shared" si="1" ref="H23:H54">1-EXP(-$N$10*$N$11/G23/AB23)</f>
        <v>0.8008093948980077</v>
      </c>
      <c r="I23" s="114">
        <f>Tsat_s($J$8)</f>
        <v>192.9746112186968</v>
      </c>
      <c r="J23" s="115"/>
      <c r="K23" s="82">
        <f>(A23-B23)/P23+B23</f>
        <v>35.21556875173061</v>
      </c>
      <c r="L23" s="56">
        <f aca="true" t="shared" si="2" ref="L23:L54">IF(K23&gt;I23,T_ps(M23,$J$11),K23)</f>
        <v>35.21556875173061</v>
      </c>
      <c r="M23" s="60">
        <f>psat_t(K23)</f>
        <v>0.05696073241853319</v>
      </c>
      <c r="N23" s="56">
        <f>L23-K23</f>
        <v>0</v>
      </c>
      <c r="O23" s="75">
        <f>Cp_pT($G$6,AVERAGE(B23,A23))</f>
        <v>4.140038638207479</v>
      </c>
      <c r="P23" s="89">
        <f>1-EXP(-$N$10*$N$11/O23/AB23)</f>
        <v>0.8007961112824087</v>
      </c>
      <c r="Q23" s="82">
        <f aca="true" t="shared" si="3" ref="Q23:Q54">h_pt($G$5,B23)</f>
        <v>157.36399299983276</v>
      </c>
      <c r="R23" s="56">
        <f aca="true" t="shared" si="4" ref="R23:R54">h_pt($G$6,A23)</f>
        <v>160.95167860508667</v>
      </c>
      <c r="S23" s="56">
        <f aca="true" t="shared" si="5" ref="S23:S54">(X23*Y23+R23*AB23)/$K$7</f>
        <v>160.95676666885723</v>
      </c>
      <c r="T23" s="56">
        <f aca="true" t="shared" si="6" ref="T23:T54">h_ps(E23,$J$10)</f>
        <v>1984.8910780656308</v>
      </c>
      <c r="U23" s="56">
        <f aca="true" t="shared" si="7" ref="U23:U54">h_ps(M23,$J$11)</f>
        <v>1990.074575876192</v>
      </c>
      <c r="V23" s="56">
        <f aca="true" t="shared" si="8" ref="V23:V54">hL_p(E23)</f>
        <v>143.92380195207417</v>
      </c>
      <c r="W23" s="56">
        <f aca="true" t="shared" si="9" ref="W23:W54">hL_p(M23)</f>
        <v>147.545762422219</v>
      </c>
      <c r="X23" s="93">
        <f aca="true" t="shared" si="10" ref="X23:X54">h_ps($G$14,sL_p(M23))</f>
        <v>163.56984516386794</v>
      </c>
      <c r="Y23" s="95">
        <f>(R23-Q23)*$K$7/(U23-W23+R23-Q23)</f>
        <v>0.2915053524857867</v>
      </c>
      <c r="Z23" s="75">
        <f>(R23-Q23)*AB23/(U23-W23)</f>
        <v>0.2915053524857867</v>
      </c>
      <c r="AA23" s="96">
        <f>(Q23-$I$4)*($K$7)/(T23-V23)</f>
        <v>0.29230861715589845</v>
      </c>
      <c r="AB23" s="93">
        <f>$K$7-Y23</f>
        <v>149.70849464751421</v>
      </c>
      <c r="AC23" s="98">
        <f aca="true" t="shared" si="11" ref="AC23:AC54">(($I$8-U23)*$K$7+(U23-T23)*AB23+(T23-$I$9)*(AB23-AA23))*10^-3</f>
        <v>219.56263999001746</v>
      </c>
      <c r="AD23" s="56">
        <f aca="true" t="shared" si="12" ref="AD23:AD54">(($I$4-$I$3)*AB23+(X23-W23)*Y23)*10^-3</f>
        <v>2.4017042185345807</v>
      </c>
      <c r="AE23" s="99">
        <f>($I$8-S23)*$K$7*10^-3</f>
        <v>491.8339252488611</v>
      </c>
      <c r="AF23" s="100">
        <f>$N$3*$N$4*(AC23-AD23)/AE23*$N$5*$N$6*$N$7</f>
        <v>0.380439688283097</v>
      </c>
    </row>
    <row r="24" spans="1:32" ht="12.75">
      <c r="A24" s="104">
        <v>40</v>
      </c>
      <c r="B24" s="93">
        <f aca="true" t="shared" si="13" ref="B24:B76">AVERAGE($H$4,A24)</f>
        <v>36.633417428689825</v>
      </c>
      <c r="C24" s="82">
        <f aca="true" t="shared" si="14" ref="C24:C76">(B24-$H$4)/H24+$H$4</f>
        <v>37.461579512831136</v>
      </c>
      <c r="D24" s="56">
        <f t="shared" si="0"/>
        <v>37.461579512831136</v>
      </c>
      <c r="E24" s="60">
        <f aca="true" t="shared" si="15" ref="E24:E76">psat_t(C24)</f>
        <v>0.06441597840662325</v>
      </c>
      <c r="F24" s="56">
        <f aca="true" t="shared" si="16" ref="F24:F76">D24-C24</f>
        <v>0</v>
      </c>
      <c r="G24" s="75">
        <f aca="true" t="shared" si="17" ref="G24:G76">Cp_pT($G$4,AVERAGE($H$4,B24))</f>
        <v>4.140116788606571</v>
      </c>
      <c r="H24" s="83">
        <f t="shared" si="1"/>
        <v>0.802571514558095</v>
      </c>
      <c r="I24" s="114">
        <f aca="true" t="shared" si="18" ref="I24:I76">Tsat_s($J$8)</f>
        <v>192.9746112186968</v>
      </c>
      <c r="J24" s="115"/>
      <c r="K24" s="82">
        <f aca="true" t="shared" si="19" ref="K24:K54">(A24-B24)/P24+B24</f>
        <v>40.828465968520554</v>
      </c>
      <c r="L24" s="56">
        <f t="shared" si="2"/>
        <v>40.828465968520554</v>
      </c>
      <c r="M24" s="60">
        <f aca="true" t="shared" si="20" ref="M24:M76">psat_t(K24)</f>
        <v>0.07716880329948166</v>
      </c>
      <c r="N24" s="56">
        <f aca="true" t="shared" si="21" ref="N24:N76">L24-K24</f>
        <v>0</v>
      </c>
      <c r="O24" s="75">
        <f aca="true" t="shared" si="22" ref="O24:O76">Cp_pT($G$6,AVERAGE(B24,A24))</f>
        <v>4.140868273948998</v>
      </c>
      <c r="P24" s="89">
        <f>1-EXP(-$N$10*$N$11/O24/AB24)</f>
        <v>0.8025133772220948</v>
      </c>
      <c r="Q24" s="82">
        <f t="shared" si="3"/>
        <v>167.71451698327874</v>
      </c>
      <c r="R24" s="56">
        <f t="shared" si="4"/>
        <v>181.65510888435205</v>
      </c>
      <c r="S24" s="56">
        <f t="shared" si="5"/>
        <v>181.6954934952686</v>
      </c>
      <c r="T24" s="56">
        <f t="shared" si="6"/>
        <v>2003.4617192853614</v>
      </c>
      <c r="U24" s="56">
        <f t="shared" si="7"/>
        <v>2023.4031031211844</v>
      </c>
      <c r="V24" s="56">
        <f t="shared" si="8"/>
        <v>156.93256830675145</v>
      </c>
      <c r="W24" s="56">
        <f t="shared" si="9"/>
        <v>171.0033180265332</v>
      </c>
      <c r="X24" s="93">
        <f t="shared" si="10"/>
        <v>187.0617250809734</v>
      </c>
      <c r="Y24" s="95">
        <f aca="true" t="shared" si="23" ref="Y24:Y54">(R24-Q24)*$K$7/(U24-W24+R24-Q24)</f>
        <v>1.1204219824719497</v>
      </c>
      <c r="Z24" s="75">
        <f aca="true" t="shared" si="24" ref="Z24:Z76">(R24-Q24)*AB24/(U24-W24)</f>
        <v>1.1204219824719497</v>
      </c>
      <c r="AA24" s="96">
        <f aca="true" t="shared" si="25" ref="AA24:AA76">(Q24-$I$4)*($K$7)/(T24-V24)</f>
        <v>1.1322373086386928</v>
      </c>
      <c r="AB24" s="93">
        <f aca="true" t="shared" si="26" ref="AB24:AB76">$K$7-Y24</f>
        <v>148.87957801752805</v>
      </c>
      <c r="AC24" s="98">
        <f t="shared" si="11"/>
        <v>219.48522753412522</v>
      </c>
      <c r="AD24" s="56">
        <f t="shared" si="12"/>
        <v>2.4017532416661553</v>
      </c>
      <c r="AE24" s="99">
        <f aca="true" t="shared" si="27" ref="AE23:AE54">($I$8-S24)*$K$7*10^-3</f>
        <v>488.7231162248994</v>
      </c>
      <c r="AF24" s="100">
        <f aca="true" t="shared" si="28" ref="AF24:AF76">$N$3*$N$4*(AC24-AD24)/AE24*$N$5*$N$6*$N$7</f>
        <v>0.38272468723270686</v>
      </c>
    </row>
    <row r="25" spans="1:32" ht="12.75">
      <c r="A25" s="104">
        <v>45</v>
      </c>
      <c r="B25" s="93">
        <f t="shared" si="13"/>
        <v>39.133417428689825</v>
      </c>
      <c r="C25" s="82">
        <f t="shared" si="14"/>
        <v>40.560859501961566</v>
      </c>
      <c r="D25" s="56">
        <f t="shared" si="0"/>
        <v>40.560859501961566</v>
      </c>
      <c r="E25" s="60">
        <f t="shared" si="15"/>
        <v>0.076081089470947</v>
      </c>
      <c r="F25" s="56">
        <f t="shared" si="16"/>
        <v>0</v>
      </c>
      <c r="G25" s="75">
        <f t="shared" si="17"/>
        <v>4.1403820507634554</v>
      </c>
      <c r="H25" s="83">
        <f t="shared" si="1"/>
        <v>0.8042998011623032</v>
      </c>
      <c r="I25" s="114">
        <f t="shared" si="18"/>
        <v>192.9746112186968</v>
      </c>
      <c r="J25" s="115"/>
      <c r="K25" s="82">
        <f t="shared" si="19"/>
        <v>46.42846711036569</v>
      </c>
      <c r="L25" s="56">
        <f t="shared" si="2"/>
        <v>46.42846711036569</v>
      </c>
      <c r="M25" s="60">
        <f t="shared" si="20"/>
        <v>0.10321819478483713</v>
      </c>
      <c r="N25" s="56">
        <f t="shared" si="21"/>
        <v>0</v>
      </c>
      <c r="O25" s="75">
        <f t="shared" si="22"/>
        <v>4.141847960439907</v>
      </c>
      <c r="P25" s="89">
        <f>1-EXP(-$N$10*$N$11/O25/AB25)</f>
        <v>0.8041867879318496</v>
      </c>
      <c r="Q25" s="82">
        <f t="shared" si="3"/>
        <v>178.06643612261433</v>
      </c>
      <c r="R25" s="56">
        <f t="shared" si="4"/>
        <v>202.36502433903416</v>
      </c>
      <c r="S25" s="56">
        <f t="shared" si="5"/>
        <v>202.46988065783657</v>
      </c>
      <c r="T25" s="56">
        <f t="shared" si="6"/>
        <v>2021.8236501466995</v>
      </c>
      <c r="U25" s="56">
        <f t="shared" si="7"/>
        <v>2056.2383004518274</v>
      </c>
      <c r="V25" s="56">
        <f t="shared" si="8"/>
        <v>169.88495402615112</v>
      </c>
      <c r="W25" s="56">
        <f t="shared" si="9"/>
        <v>194.4074646880634</v>
      </c>
      <c r="X25" s="93">
        <f t="shared" si="10"/>
        <v>210.50428685181691</v>
      </c>
      <c r="Y25" s="95">
        <f t="shared" si="23"/>
        <v>1.9324168247010325</v>
      </c>
      <c r="Z25" s="75">
        <f t="shared" si="24"/>
        <v>1.9324168247010327</v>
      </c>
      <c r="AA25" s="96">
        <f t="shared" si="25"/>
        <v>1.9673961534254178</v>
      </c>
      <c r="AB25" s="93">
        <f t="shared" si="26"/>
        <v>148.06758317529898</v>
      </c>
      <c r="AC25" s="98">
        <f t="shared" si="11"/>
        <v>219.32431435859266</v>
      </c>
      <c r="AD25" s="56">
        <f t="shared" si="12"/>
        <v>2.401865696565616</v>
      </c>
      <c r="AE25" s="99">
        <f t="shared" si="27"/>
        <v>485.6069581505142</v>
      </c>
      <c r="AF25" s="100">
        <f t="shared" si="28"/>
        <v>0.3848949311371345</v>
      </c>
    </row>
    <row r="26" spans="1:32" ht="12.75">
      <c r="A26" s="104">
        <v>50</v>
      </c>
      <c r="B26" s="93">
        <f t="shared" si="13"/>
        <v>41.633417428689825</v>
      </c>
      <c r="C26" s="82">
        <f t="shared" si="14"/>
        <v>43.64725534453984</v>
      </c>
      <c r="D26" s="56">
        <f t="shared" si="0"/>
        <v>43.64725534453984</v>
      </c>
      <c r="E26" s="60">
        <f t="shared" si="15"/>
        <v>0.08946631403312758</v>
      </c>
      <c r="F26" s="56">
        <f t="shared" si="16"/>
        <v>0</v>
      </c>
      <c r="G26" s="75">
        <f t="shared" si="17"/>
        <v>4.1406635104026135</v>
      </c>
      <c r="H26" s="83">
        <f t="shared" si="1"/>
        <v>0.8059964990492454</v>
      </c>
      <c r="I26" s="114">
        <f t="shared" si="18"/>
        <v>192.9746112186968</v>
      </c>
      <c r="J26" s="115"/>
      <c r="K26" s="82">
        <f t="shared" si="19"/>
        <v>52.01613713477795</v>
      </c>
      <c r="L26" s="56">
        <f t="shared" si="2"/>
        <v>52.01613713477795</v>
      </c>
      <c r="M26" s="60">
        <f t="shared" si="20"/>
        <v>0.13641266479840092</v>
      </c>
      <c r="N26" s="56">
        <f t="shared" si="21"/>
        <v>0</v>
      </c>
      <c r="O26" s="75">
        <f t="shared" si="22"/>
        <v>4.142986754294436</v>
      </c>
      <c r="P26" s="89">
        <f>1-EXP(-$N$10*$N$11/O26/AB26)</f>
        <v>0.8058180137911507</v>
      </c>
      <c r="Q26" s="82">
        <f t="shared" si="3"/>
        <v>188.41991604161055</v>
      </c>
      <c r="R26" s="56">
        <f t="shared" si="4"/>
        <v>223.08285031260164</v>
      </c>
      <c r="S26" s="56">
        <f t="shared" si="5"/>
        <v>223.2796792109169</v>
      </c>
      <c r="T26" s="56">
        <f t="shared" si="6"/>
        <v>2039.9824350878675</v>
      </c>
      <c r="U26" s="56">
        <f t="shared" si="7"/>
        <v>2088.5935595873248</v>
      </c>
      <c r="V26" s="56">
        <f t="shared" si="8"/>
        <v>182.78358604533574</v>
      </c>
      <c r="W26" s="56">
        <f t="shared" si="9"/>
        <v>217.7647369108623</v>
      </c>
      <c r="X26" s="93">
        <f t="shared" si="10"/>
        <v>233.90293381553474</v>
      </c>
      <c r="Y26" s="95">
        <f t="shared" si="23"/>
        <v>2.7286605264449033</v>
      </c>
      <c r="Z26" s="75">
        <f t="shared" si="24"/>
        <v>2.7286605264449038</v>
      </c>
      <c r="AA26" s="96">
        <f t="shared" si="25"/>
        <v>2.798041285485245</v>
      </c>
      <c r="AB26" s="93">
        <f t="shared" si="26"/>
        <v>147.2713394735551</v>
      </c>
      <c r="AC26" s="98">
        <f t="shared" si="11"/>
        <v>219.0833545559028</v>
      </c>
      <c r="AD26" s="56">
        <f t="shared" si="12"/>
        <v>2.40204666146072</v>
      </c>
      <c r="AE26" s="99">
        <f t="shared" si="27"/>
        <v>482.48548836755214</v>
      </c>
      <c r="AF26" s="100">
        <f t="shared" si="28"/>
        <v>0.38695439810267684</v>
      </c>
    </row>
    <row r="27" spans="1:32" ht="12.75">
      <c r="A27" s="104">
        <v>55</v>
      </c>
      <c r="B27" s="93">
        <f t="shared" si="13"/>
        <v>44.133417428689825</v>
      </c>
      <c r="C27" s="82">
        <f t="shared" si="14"/>
        <v>46.721175208930134</v>
      </c>
      <c r="D27" s="56">
        <f t="shared" si="0"/>
        <v>46.721175208930134</v>
      </c>
      <c r="E27" s="60">
        <f t="shared" si="15"/>
        <v>0.1047659062225028</v>
      </c>
      <c r="F27" s="56">
        <f t="shared" si="16"/>
        <v>0</v>
      </c>
      <c r="G27" s="75">
        <f t="shared" si="17"/>
        <v>4.140961418117242</v>
      </c>
      <c r="H27" s="83">
        <f t="shared" si="1"/>
        <v>0.8076637194671463</v>
      </c>
      <c r="I27" s="114">
        <f t="shared" si="18"/>
        <v>192.9746112186968</v>
      </c>
      <c r="J27" s="115"/>
      <c r="K27" s="82">
        <f t="shared" si="19"/>
        <v>57.592010122734045</v>
      </c>
      <c r="L27" s="56">
        <f t="shared" si="2"/>
        <v>57.592010122734045</v>
      </c>
      <c r="M27" s="60">
        <f t="shared" si="20"/>
        <v>0.17825703762391076</v>
      </c>
      <c r="N27" s="56">
        <f t="shared" si="21"/>
        <v>0</v>
      </c>
      <c r="O27" s="75">
        <f t="shared" si="22"/>
        <v>4.144294677028605</v>
      </c>
      <c r="P27" s="89">
        <f>1-EXP(-$N$10*$N$11/O27/AB27)</f>
        <v>0.807408532105955</v>
      </c>
      <c r="Q27" s="82">
        <f t="shared" si="3"/>
        <v>198.77512871117358</v>
      </c>
      <c r="R27" s="56">
        <f t="shared" si="4"/>
        <v>243.81012900546284</v>
      </c>
      <c r="S27" s="56">
        <f t="shared" si="5"/>
        <v>244.12494856846828</v>
      </c>
      <c r="T27" s="56">
        <f t="shared" si="6"/>
        <v>2057.9432639683396</v>
      </c>
      <c r="U27" s="56">
        <f t="shared" si="7"/>
        <v>2120.4815068627518</v>
      </c>
      <c r="V27" s="56">
        <f t="shared" si="8"/>
        <v>195.63087621754326</v>
      </c>
      <c r="W27" s="56">
        <f t="shared" si="9"/>
        <v>241.0813015247793</v>
      </c>
      <c r="X27" s="93">
        <f t="shared" si="10"/>
        <v>257.2629955872416</v>
      </c>
      <c r="Y27" s="95">
        <f t="shared" si="23"/>
        <v>3.510250708557367</v>
      </c>
      <c r="Z27" s="75">
        <f t="shared" si="24"/>
        <v>3.510250708557367</v>
      </c>
      <c r="AA27" s="96">
        <f t="shared" si="25"/>
        <v>3.624419297110081</v>
      </c>
      <c r="AB27" s="93">
        <f t="shared" si="26"/>
        <v>146.48974929144262</v>
      </c>
      <c r="AC27" s="98">
        <f t="shared" si="11"/>
        <v>218.76553374684798</v>
      </c>
      <c r="AD27" s="56">
        <f t="shared" si="12"/>
        <v>2.4022985000906116</v>
      </c>
      <c r="AE27" s="99">
        <f t="shared" si="27"/>
        <v>479.3586979639194</v>
      </c>
      <c r="AF27" s="100">
        <f t="shared" si="28"/>
        <v>0.38890672157594797</v>
      </c>
    </row>
    <row r="28" spans="1:32" ht="12.75">
      <c r="A28" s="104">
        <v>60</v>
      </c>
      <c r="B28" s="93">
        <f t="shared" si="13"/>
        <v>46.633417428689825</v>
      </c>
      <c r="C28" s="82">
        <f t="shared" si="14"/>
        <v>49.78299146842623</v>
      </c>
      <c r="D28" s="56">
        <f t="shared" si="0"/>
        <v>49.78299146842623</v>
      </c>
      <c r="E28" s="60">
        <f t="shared" si="15"/>
        <v>0.12218873987372052</v>
      </c>
      <c r="F28" s="56">
        <f t="shared" si="16"/>
        <v>0</v>
      </c>
      <c r="G28" s="75">
        <f t="shared" si="17"/>
        <v>4.141276068289369</v>
      </c>
      <c r="H28" s="83">
        <f t="shared" si="1"/>
        <v>0.8093034527397334</v>
      </c>
      <c r="I28" s="114">
        <f t="shared" si="18"/>
        <v>192.9746112186968</v>
      </c>
      <c r="J28" s="115"/>
      <c r="K28" s="82">
        <f t="shared" si="19"/>
        <v>63.15659157744608</v>
      </c>
      <c r="L28" s="56">
        <f t="shared" si="2"/>
        <v>63.15659157744608</v>
      </c>
      <c r="M28" s="60">
        <f t="shared" si="20"/>
        <v>0.23047214755569048</v>
      </c>
      <c r="N28" s="56">
        <f t="shared" si="21"/>
        <v>0</v>
      </c>
      <c r="O28" s="75">
        <f t="shared" si="22"/>
        <v>4.14578147289657</v>
      </c>
      <c r="P28" s="89">
        <f>1-EXP(-$N$10*$N$11/O28/AB28)</f>
        <v>0.8089597344294959</v>
      </c>
      <c r="Q28" s="82">
        <f t="shared" si="3"/>
        <v>209.13225329461227</v>
      </c>
      <c r="R28" s="56">
        <f t="shared" si="4"/>
        <v>264.5485110829251</v>
      </c>
      <c r="S28" s="56">
        <f t="shared" si="5"/>
        <v>265.00603131938163</v>
      </c>
      <c r="T28" s="56">
        <f t="shared" si="6"/>
        <v>2075.710985563323</v>
      </c>
      <c r="U28" s="56">
        <f t="shared" si="7"/>
        <v>2151.9140891694565</v>
      </c>
      <c r="V28" s="56">
        <f t="shared" si="8"/>
        <v>208.4290474818602</v>
      </c>
      <c r="W28" s="56">
        <f t="shared" si="9"/>
        <v>264.36306544661653</v>
      </c>
      <c r="X28" s="93">
        <f t="shared" si="10"/>
        <v>280.58977560605655</v>
      </c>
      <c r="Y28" s="95">
        <f t="shared" si="23"/>
        <v>4.278218551257271</v>
      </c>
      <c r="Z28" s="75">
        <f t="shared" si="24"/>
        <v>4.27821855125727</v>
      </c>
      <c r="AA28" s="96">
        <f t="shared" si="25"/>
        <v>4.446768039462873</v>
      </c>
      <c r="AB28" s="93">
        <f t="shared" si="26"/>
        <v>145.72178144874272</v>
      </c>
      <c r="AC28" s="98">
        <f t="shared" si="11"/>
        <v>218.3737924591271</v>
      </c>
      <c r="AD28" s="56">
        <f t="shared" si="12"/>
        <v>2.402621917778229</v>
      </c>
      <c r="AE28" s="99">
        <f t="shared" si="27"/>
        <v>476.22653555128244</v>
      </c>
      <c r="AF28" s="100">
        <f t="shared" si="28"/>
        <v>0.3907552177237526</v>
      </c>
    </row>
    <row r="29" spans="1:32" ht="12.75">
      <c r="A29" s="104">
        <v>65</v>
      </c>
      <c r="B29" s="93">
        <f t="shared" si="13"/>
        <v>49.133417428689825</v>
      </c>
      <c r="C29" s="82">
        <f t="shared" si="14"/>
        <v>52.833043567240864</v>
      </c>
      <c r="D29" s="56">
        <f t="shared" si="0"/>
        <v>52.833043567240864</v>
      </c>
      <c r="E29" s="60">
        <f t="shared" si="15"/>
        <v>0.14195870424269866</v>
      </c>
      <c r="F29" s="56">
        <f t="shared" si="16"/>
        <v>0</v>
      </c>
      <c r="G29" s="75">
        <f t="shared" si="17"/>
        <v>4.141607787911118</v>
      </c>
      <c r="H29" s="83">
        <f t="shared" si="1"/>
        <v>0.8109175776763303</v>
      </c>
      <c r="I29" s="114">
        <f t="shared" si="18"/>
        <v>192.9746112186968</v>
      </c>
      <c r="J29" s="115"/>
      <c r="K29" s="82">
        <f t="shared" si="19"/>
        <v>68.7103593766798</v>
      </c>
      <c r="L29" s="56">
        <f t="shared" si="2"/>
        <v>68.7103593766798</v>
      </c>
      <c r="M29" s="60">
        <f t="shared" si="20"/>
        <v>0.29500885606666905</v>
      </c>
      <c r="N29" s="56">
        <f t="shared" si="21"/>
        <v>0</v>
      </c>
      <c r="O29" s="75">
        <f t="shared" si="22"/>
        <v>4.147455953874858</v>
      </c>
      <c r="P29" s="89">
        <f>1-EXP(-$N$10*$N$11/O29/AB29)</f>
        <v>0.8104729846705828</v>
      </c>
      <c r="Q29" s="82">
        <f t="shared" si="3"/>
        <v>219.49147643005224</v>
      </c>
      <c r="R29" s="56">
        <f t="shared" si="4"/>
        <v>285.2997380133818</v>
      </c>
      <c r="S29" s="56">
        <f t="shared" si="5"/>
        <v>285.9235204031093</v>
      </c>
      <c r="T29" s="56">
        <f t="shared" si="6"/>
        <v>2093.290137536429</v>
      </c>
      <c r="U29" s="56">
        <f t="shared" si="7"/>
        <v>2182.9026393317818</v>
      </c>
      <c r="V29" s="56">
        <f t="shared" si="8"/>
        <v>221.18015466090418</v>
      </c>
      <c r="W29" s="56">
        <f t="shared" si="9"/>
        <v>287.61572898964573</v>
      </c>
      <c r="X29" s="93">
        <f t="shared" si="10"/>
        <v>303.8885383158754</v>
      </c>
      <c r="Y29" s="95">
        <f t="shared" si="23"/>
        <v>5.033534006311144</v>
      </c>
      <c r="Z29" s="75">
        <f t="shared" si="24"/>
        <v>5.033534006311144</v>
      </c>
      <c r="AA29" s="96">
        <f t="shared" si="25"/>
        <v>5.265317317576816</v>
      </c>
      <c r="AB29" s="93">
        <f t="shared" si="26"/>
        <v>144.96646599368884</v>
      </c>
      <c r="AC29" s="98">
        <f t="shared" si="11"/>
        <v>217.9108470442397</v>
      </c>
      <c r="AD29" s="56">
        <f t="shared" si="12"/>
        <v>2.4030166344145654</v>
      </c>
      <c r="AE29" s="99">
        <f t="shared" si="27"/>
        <v>473.08891218872327</v>
      </c>
      <c r="AF29" s="100">
        <f t="shared" si="28"/>
        <v>0.3925029088711556</v>
      </c>
    </row>
    <row r="30" spans="1:32" ht="12.75">
      <c r="A30" s="104">
        <v>70</v>
      </c>
      <c r="B30" s="93">
        <f t="shared" si="13"/>
        <v>51.633417428689825</v>
      </c>
      <c r="C30" s="82">
        <f t="shared" si="14"/>
        <v>55.87164061633496</v>
      </c>
      <c r="D30" s="56">
        <f t="shared" si="0"/>
        <v>55.87164061633496</v>
      </c>
      <c r="E30" s="60">
        <f t="shared" si="15"/>
        <v>0.16431505776066596</v>
      </c>
      <c r="F30" s="56">
        <f t="shared" si="16"/>
        <v>0</v>
      </c>
      <c r="G30" s="75">
        <f t="shared" si="17"/>
        <v>4.141956927095339</v>
      </c>
      <c r="H30" s="83">
        <f t="shared" si="1"/>
        <v>0.8125078696610306</v>
      </c>
      <c r="I30" s="114">
        <f t="shared" si="18"/>
        <v>192.9746112186968</v>
      </c>
      <c r="J30" s="115"/>
      <c r="K30" s="82">
        <f t="shared" si="19"/>
        <v>74.25376421692151</v>
      </c>
      <c r="L30" s="56">
        <f t="shared" si="2"/>
        <v>74.25376421692151</v>
      </c>
      <c r="M30" s="60">
        <f t="shared" si="20"/>
        <v>0.3740609709318995</v>
      </c>
      <c r="N30" s="56">
        <f t="shared" si="21"/>
        <v>0</v>
      </c>
      <c r="O30" s="75">
        <f t="shared" si="22"/>
        <v>4.149325724842412</v>
      </c>
      <c r="P30" s="89">
        <f>1-EXP(-$N$10*$N$11/O30/AB30)</f>
        <v>0.8119496461860372</v>
      </c>
      <c r="Q30" s="82">
        <f t="shared" si="3"/>
        <v>229.8529921251539</v>
      </c>
      <c r="R30" s="56">
        <f t="shared" si="4"/>
        <v>306.06562295983207</v>
      </c>
      <c r="S30" s="56">
        <f t="shared" si="5"/>
        <v>306.87822569194253</v>
      </c>
      <c r="T30" s="56">
        <f t="shared" si="6"/>
        <v>2110.684973351376</v>
      </c>
      <c r="U30" s="56">
        <f t="shared" si="7"/>
        <v>2213.457927653913</v>
      </c>
      <c r="V30" s="56">
        <f t="shared" si="8"/>
        <v>233.88610135171783</v>
      </c>
      <c r="W30" s="56">
        <f t="shared" si="9"/>
        <v>310.8448143787572</v>
      </c>
      <c r="X30" s="93">
        <f t="shared" si="10"/>
        <v>327.1644774203508</v>
      </c>
      <c r="Y30" s="95">
        <f t="shared" si="23"/>
        <v>5.777110318697776</v>
      </c>
      <c r="Z30" s="75">
        <f t="shared" si="24"/>
        <v>5.777110318697777</v>
      </c>
      <c r="AA30" s="96">
        <f t="shared" si="25"/>
        <v>6.080289495991483</v>
      </c>
      <c r="AB30" s="93">
        <f t="shared" si="26"/>
        <v>144.22288968130223</v>
      </c>
      <c r="AC30" s="98">
        <f t="shared" si="11"/>
        <v>217.37920850970292</v>
      </c>
      <c r="AD30" s="56">
        <f t="shared" si="12"/>
        <v>2.4034817383582237</v>
      </c>
      <c r="AE30" s="99">
        <f t="shared" si="27"/>
        <v>469.94570639539825</v>
      </c>
      <c r="AF30" s="100">
        <f t="shared" si="28"/>
        <v>0.39415254427878454</v>
      </c>
    </row>
    <row r="31" spans="1:32" ht="12.75">
      <c r="A31" s="104">
        <v>75</v>
      </c>
      <c r="B31" s="93">
        <f t="shared" si="13"/>
        <v>54.133417428689825</v>
      </c>
      <c r="C31" s="82">
        <f t="shared" si="14"/>
        <v>58.89906374186559</v>
      </c>
      <c r="D31" s="56">
        <f t="shared" si="0"/>
        <v>58.89906374186559</v>
      </c>
      <c r="E31" s="60">
        <f t="shared" si="15"/>
        <v>0.18951273730190513</v>
      </c>
      <c r="F31" s="56">
        <f t="shared" si="16"/>
        <v>0</v>
      </c>
      <c r="G31" s="75">
        <f t="shared" si="17"/>
        <v>4.142323851065908</v>
      </c>
      <c r="H31" s="83">
        <f t="shared" si="1"/>
        <v>0.8140760081906024</v>
      </c>
      <c r="I31" s="114">
        <f t="shared" si="18"/>
        <v>192.9746112186968</v>
      </c>
      <c r="J31" s="115"/>
      <c r="K31" s="82">
        <f t="shared" si="19"/>
        <v>79.7872300018678</v>
      </c>
      <c r="L31" s="56">
        <f t="shared" si="2"/>
        <v>79.7872300018678</v>
      </c>
      <c r="M31" s="60">
        <f t="shared" si="20"/>
        <v>0.4700769279915131</v>
      </c>
      <c r="N31" s="56">
        <f t="shared" si="21"/>
        <v>0</v>
      </c>
      <c r="O31" s="75">
        <f t="shared" si="22"/>
        <v>4.151397147593876</v>
      </c>
      <c r="P31" s="89">
        <f>1-EXP(-$N$10*$N$11/O31/AB31)</f>
        <v>0.8133910899905369</v>
      </c>
      <c r="Q31" s="82">
        <f t="shared" si="3"/>
        <v>240.21700139690145</v>
      </c>
      <c r="R31" s="56">
        <f t="shared" si="4"/>
        <v>326.84803422851536</v>
      </c>
      <c r="S31" s="56">
        <f t="shared" si="5"/>
        <v>327.87114394885754</v>
      </c>
      <c r="T31" s="56">
        <f t="shared" si="6"/>
        <v>2127.8994864191973</v>
      </c>
      <c r="U31" s="56">
        <f t="shared" si="7"/>
        <v>2243.590203993354</v>
      </c>
      <c r="V31" s="56">
        <f t="shared" si="8"/>
        <v>246.5486538925916</v>
      </c>
      <c r="W31" s="56">
        <f t="shared" si="9"/>
        <v>334.0556851260363</v>
      </c>
      <c r="X31" s="93">
        <f t="shared" si="10"/>
        <v>350.422685396821</v>
      </c>
      <c r="Y31" s="95">
        <f t="shared" si="23"/>
        <v>6.509808223913276</v>
      </c>
      <c r="Z31" s="75">
        <f t="shared" si="24"/>
        <v>6.509808223913276</v>
      </c>
      <c r="AA31" s="96">
        <f t="shared" si="25"/>
        <v>6.891900029542711</v>
      </c>
      <c r="AB31" s="93">
        <f t="shared" si="26"/>
        <v>143.49019177608673</v>
      </c>
      <c r="AC31" s="98">
        <f t="shared" si="11"/>
        <v>216.78119950006754</v>
      </c>
      <c r="AD31" s="56">
        <f t="shared" si="12"/>
        <v>2.404015804716529</v>
      </c>
      <c r="AE31" s="99">
        <f t="shared" si="27"/>
        <v>466.79676865686105</v>
      </c>
      <c r="AF31" s="100">
        <f t="shared" si="28"/>
        <v>0.39570661894779335</v>
      </c>
    </row>
    <row r="32" spans="1:32" ht="12.75">
      <c r="A32" s="104">
        <v>80</v>
      </c>
      <c r="B32" s="93">
        <f t="shared" si="13"/>
        <v>56.633417428689825</v>
      </c>
      <c r="C32" s="82">
        <f t="shared" si="14"/>
        <v>61.91556819822833</v>
      </c>
      <c r="D32" s="56">
        <f t="shared" si="0"/>
        <v>61.91556819822833</v>
      </c>
      <c r="E32" s="60">
        <f t="shared" si="15"/>
        <v>0.21782262062932364</v>
      </c>
      <c r="F32" s="56">
        <f t="shared" si="16"/>
        <v>0</v>
      </c>
      <c r="G32" s="75">
        <f t="shared" si="17"/>
        <v>4.142708933442197</v>
      </c>
      <c r="H32" s="83">
        <f t="shared" si="1"/>
        <v>0.8156235842369</v>
      </c>
      <c r="I32" s="114">
        <f t="shared" si="18"/>
        <v>192.9746112186968</v>
      </c>
      <c r="J32" s="115"/>
      <c r="K32" s="82">
        <f t="shared" si="19"/>
        <v>85.31115439393385</v>
      </c>
      <c r="L32" s="56">
        <f t="shared" si="2"/>
        <v>85.31115439393385</v>
      </c>
      <c r="M32" s="60">
        <f t="shared" si="20"/>
        <v>0.5857701298774465</v>
      </c>
      <c r="N32" s="56">
        <f t="shared" si="21"/>
        <v>0</v>
      </c>
      <c r="O32" s="75">
        <f t="shared" si="22"/>
        <v>4.153675447975649</v>
      </c>
      <c r="P32" s="89">
        <f>1-EXP(-$N$10*$N$11/O32/AB32)</f>
        <v>0.8147986920874997</v>
      </c>
      <c r="Q32" s="82">
        <f t="shared" si="3"/>
        <v>250.583711756185</v>
      </c>
      <c r="R32" s="56">
        <f t="shared" si="4"/>
        <v>347.6488830444545</v>
      </c>
      <c r="S32" s="56">
        <f t="shared" si="5"/>
        <v>348.90343413257267</v>
      </c>
      <c r="T32" s="56">
        <f t="shared" si="6"/>
        <v>2144.937431701475</v>
      </c>
      <c r="U32" s="56">
        <f t="shared" si="7"/>
        <v>2273.309233282273</v>
      </c>
      <c r="V32" s="56">
        <f t="shared" si="8"/>
        <v>259.1694530762652</v>
      </c>
      <c r="W32" s="56">
        <f t="shared" si="9"/>
        <v>357.2535640327041</v>
      </c>
      <c r="X32" s="93">
        <f t="shared" si="10"/>
        <v>373.66813286898133</v>
      </c>
      <c r="Y32" s="95">
        <f t="shared" si="23"/>
        <v>7.232440000646232</v>
      </c>
      <c r="Z32" s="75">
        <f t="shared" si="24"/>
        <v>7.232440000646232</v>
      </c>
      <c r="AA32" s="96">
        <f t="shared" si="25"/>
        <v>7.700357932023658</v>
      </c>
      <c r="AB32" s="93">
        <f t="shared" si="26"/>
        <v>142.76755999935378</v>
      </c>
      <c r="AC32" s="98">
        <f t="shared" si="11"/>
        <v>216.1189695886187</v>
      </c>
      <c r="AD32" s="56">
        <f t="shared" si="12"/>
        <v>2.4046168553201226</v>
      </c>
      <c r="AE32" s="99">
        <f t="shared" si="27"/>
        <v>463.6419251293038</v>
      </c>
      <c r="AF32" s="100">
        <f t="shared" si="28"/>
        <v>0.3971673908119372</v>
      </c>
    </row>
    <row r="33" spans="1:32" ht="12.75">
      <c r="A33" s="104">
        <v>85</v>
      </c>
      <c r="B33" s="93">
        <f t="shared" si="13"/>
        <v>59.133417428689825</v>
      </c>
      <c r="C33" s="82">
        <f t="shared" si="14"/>
        <v>64.9213852541032</v>
      </c>
      <c r="D33" s="56">
        <f t="shared" si="0"/>
        <v>64.9213852541032</v>
      </c>
      <c r="E33" s="60">
        <f t="shared" si="15"/>
        <v>0.2495317398474886</v>
      </c>
      <c r="F33" s="56">
        <f t="shared" si="16"/>
        <v>0</v>
      </c>
      <c r="G33" s="75">
        <f t="shared" si="17"/>
        <v>4.14311255065372</v>
      </c>
      <c r="H33" s="83">
        <f t="shared" si="1"/>
        <v>0.8171521075841133</v>
      </c>
      <c r="I33" s="114">
        <f t="shared" si="18"/>
        <v>192.9746112186968</v>
      </c>
      <c r="J33" s="115"/>
      <c r="K33" s="82">
        <f t="shared" si="19"/>
        <v>90.8259096100976</v>
      </c>
      <c r="L33" s="56">
        <f t="shared" si="2"/>
        <v>90.8259096100976</v>
      </c>
      <c r="M33" s="60">
        <f t="shared" si="20"/>
        <v>0.7241278696907848</v>
      </c>
      <c r="N33" s="56">
        <f t="shared" si="21"/>
        <v>0</v>
      </c>
      <c r="O33" s="75">
        <f t="shared" si="22"/>
        <v>4.156164902139676</v>
      </c>
      <c r="P33" s="89">
        <f>1-EXP(-$N$10*$N$11/O33/AB33)</f>
        <v>0.8161738251207857</v>
      </c>
      <c r="Q33" s="82">
        <f t="shared" si="3"/>
        <v>260.9533366112628</v>
      </c>
      <c r="R33" s="56">
        <f t="shared" si="4"/>
        <v>368.4701161593817</v>
      </c>
      <c r="S33" s="56">
        <f t="shared" si="5"/>
        <v>369.9763987735766</v>
      </c>
      <c r="T33" s="56">
        <f t="shared" si="6"/>
        <v>2161.8023449586526</v>
      </c>
      <c r="U33" s="56">
        <f t="shared" si="7"/>
        <v>2302.624326537041</v>
      </c>
      <c r="V33" s="56">
        <f t="shared" si="8"/>
        <v>271.75002407564324</v>
      </c>
      <c r="W33" s="56">
        <f t="shared" si="9"/>
        <v>380.4435532339472</v>
      </c>
      <c r="X33" s="93">
        <f t="shared" si="10"/>
        <v>396.9056603486998</v>
      </c>
      <c r="Y33" s="95">
        <f t="shared" si="23"/>
        <v>7.945773452582995</v>
      </c>
      <c r="Z33" s="75">
        <f t="shared" si="24"/>
        <v>7.945773452582995</v>
      </c>
      <c r="AA33" s="96">
        <f t="shared" si="25"/>
        <v>8.505866193647888</v>
      </c>
      <c r="AB33" s="93">
        <f t="shared" si="26"/>
        <v>142.05422654741702</v>
      </c>
      <c r="AC33" s="98">
        <f t="shared" si="11"/>
        <v>215.39450900747394</v>
      </c>
      <c r="AD33" s="56">
        <f t="shared" si="12"/>
        <v>2.4052822226924686</v>
      </c>
      <c r="AE33" s="99">
        <f t="shared" si="27"/>
        <v>460.4809804331532</v>
      </c>
      <c r="AF33" s="100">
        <f t="shared" si="28"/>
        <v>0.39853689649926</v>
      </c>
    </row>
    <row r="34" spans="1:32" ht="12.75">
      <c r="A34" s="104">
        <v>90</v>
      </c>
      <c r="B34" s="93">
        <f t="shared" si="13"/>
        <v>61.633417428689825</v>
      </c>
      <c r="C34" s="82">
        <f t="shared" si="14"/>
        <v>67.91672385976241</v>
      </c>
      <c r="D34" s="56">
        <f t="shared" si="0"/>
        <v>67.91672385976241</v>
      </c>
      <c r="E34" s="60">
        <f t="shared" si="15"/>
        <v>0.2849434438329448</v>
      </c>
      <c r="F34" s="56">
        <f t="shared" si="16"/>
        <v>0</v>
      </c>
      <c r="G34" s="75">
        <f t="shared" si="17"/>
        <v>4.143535077339996</v>
      </c>
      <c r="H34" s="83">
        <f t="shared" si="1"/>
        <v>0.8186630141689486</v>
      </c>
      <c r="I34" s="114">
        <f t="shared" si="18"/>
        <v>192.9746112186968</v>
      </c>
      <c r="J34" s="115"/>
      <c r="K34" s="82">
        <f t="shared" si="19"/>
        <v>96.33184346645362</v>
      </c>
      <c r="L34" s="56">
        <f t="shared" si="2"/>
        <v>96.33184346645362</v>
      </c>
      <c r="M34" s="60">
        <f t="shared" si="20"/>
        <v>0.8884188001368655</v>
      </c>
      <c r="N34" s="56">
        <f t="shared" si="21"/>
        <v>0</v>
      </c>
      <c r="O34" s="75">
        <f t="shared" si="22"/>
        <v>4.158869059855702</v>
      </c>
      <c r="P34" s="89">
        <f>1-EXP(-$N$10*$N$11/O34/AB34)</f>
        <v>0.8175178476521555</v>
      </c>
      <c r="Q34" s="82">
        <f t="shared" si="3"/>
        <v>271.32609464426446</v>
      </c>
      <c r="R34" s="56">
        <f t="shared" si="4"/>
        <v>389.3137131206969</v>
      </c>
      <c r="S34" s="56">
        <f t="shared" si="5"/>
        <v>391.0914714031769</v>
      </c>
      <c r="T34" s="56">
        <f t="shared" si="6"/>
        <v>2178.4975598217993</v>
      </c>
      <c r="U34" s="56">
        <f t="shared" si="7"/>
        <v>2331.544368826543</v>
      </c>
      <c r="V34" s="56">
        <f t="shared" si="8"/>
        <v>284.2917849132619</v>
      </c>
      <c r="W34" s="56">
        <f t="shared" si="9"/>
        <v>403.6306573905473</v>
      </c>
      <c r="X34" s="93">
        <f t="shared" si="10"/>
        <v>420.1399818542685</v>
      </c>
      <c r="Y34" s="95">
        <f t="shared" si="23"/>
        <v>8.650535836067132</v>
      </c>
      <c r="Z34" s="75">
        <f t="shared" si="24"/>
        <v>8.650535836067132</v>
      </c>
      <c r="AA34" s="96">
        <f t="shared" si="25"/>
        <v>9.30862215654799</v>
      </c>
      <c r="AB34" s="93">
        <f t="shared" si="26"/>
        <v>141.34946416393288</v>
      </c>
      <c r="AC34" s="98">
        <f t="shared" si="11"/>
        <v>214.6096609280713</v>
      </c>
      <c r="AD34" s="56">
        <f t="shared" si="12"/>
        <v>2.4060083641031484</v>
      </c>
      <c r="AE34" s="99">
        <f t="shared" si="27"/>
        <v>457.31371953871314</v>
      </c>
      <c r="AF34" s="100">
        <f t="shared" si="28"/>
        <v>0.3998169657552843</v>
      </c>
    </row>
    <row r="35" spans="1:32" ht="12.75">
      <c r="A35" s="104">
        <v>95</v>
      </c>
      <c r="B35" s="93">
        <f t="shared" si="13"/>
        <v>64.13341742868982</v>
      </c>
      <c r="C35" s="82">
        <f t="shared" si="14"/>
        <v>70.90177210507076</v>
      </c>
      <c r="D35" s="56">
        <f t="shared" si="0"/>
        <v>70.90177210507076</v>
      </c>
      <c r="E35" s="60">
        <f t="shared" si="15"/>
        <v>0.32437750772424045</v>
      </c>
      <c r="F35" s="56">
        <f t="shared" si="16"/>
        <v>0</v>
      </c>
      <c r="G35" s="75">
        <f t="shared" si="17"/>
        <v>4.143976882607746</v>
      </c>
      <c r="H35" s="83">
        <f t="shared" si="1"/>
        <v>0.8201576733917317</v>
      </c>
      <c r="I35" s="114">
        <f t="shared" si="18"/>
        <v>192.9746112186968</v>
      </c>
      <c r="J35" s="115"/>
      <c r="K35" s="82">
        <f t="shared" si="19"/>
        <v>101.82928063617463</v>
      </c>
      <c r="L35" s="56">
        <f t="shared" si="2"/>
        <v>101.82928063617463</v>
      </c>
      <c r="M35" s="60">
        <f t="shared" si="20"/>
        <v>1.0821989390715752</v>
      </c>
      <c r="N35" s="56">
        <f t="shared" si="21"/>
        <v>0</v>
      </c>
      <c r="O35" s="75">
        <f t="shared" si="22"/>
        <v>4.161790977938264</v>
      </c>
      <c r="P35" s="89">
        <f>1-EXP(-$N$10*$N$11/O35/AB35)</f>
        <v>0.8188320930977215</v>
      </c>
      <c r="Q35" s="82">
        <f t="shared" si="3"/>
        <v>281.70220919963276</v>
      </c>
      <c r="R35" s="56">
        <f t="shared" si="4"/>
        <v>410.1816877038213</v>
      </c>
      <c r="S35" s="56">
        <f t="shared" si="5"/>
        <v>412.2502096092968</v>
      </c>
      <c r="T35" s="56">
        <f t="shared" si="6"/>
        <v>2195.0262228630177</v>
      </c>
      <c r="U35" s="56">
        <f t="shared" si="7"/>
        <v>2360.077845262354</v>
      </c>
      <c r="V35" s="56">
        <f t="shared" si="8"/>
        <v>296.7960537156712</v>
      </c>
      <c r="W35" s="56">
        <f t="shared" si="9"/>
        <v>426.8198099778659</v>
      </c>
      <c r="X35" s="93">
        <f t="shared" si="10"/>
        <v>443.3756986094102</v>
      </c>
      <c r="Y35" s="95">
        <f t="shared" si="23"/>
        <v>9.347417722547007</v>
      </c>
      <c r="Z35" s="75">
        <f t="shared" si="24"/>
        <v>9.347417722547007</v>
      </c>
      <c r="AA35" s="96">
        <f t="shared" si="25"/>
        <v>10.108817856002855</v>
      </c>
      <c r="AB35" s="93">
        <f t="shared" si="26"/>
        <v>140.652582277453</v>
      </c>
      <c r="AC35" s="98">
        <f t="shared" si="11"/>
        <v>213.76613239676536</v>
      </c>
      <c r="AD35" s="56">
        <f t="shared" si="12"/>
        <v>2.406790657492252</v>
      </c>
      <c r="AE35" s="99">
        <f t="shared" si="27"/>
        <v>454.13990880779517</v>
      </c>
      <c r="AF35" s="100">
        <f t="shared" si="28"/>
        <v>0.4010092345771212</v>
      </c>
    </row>
    <row r="36" spans="1:32" ht="12.75">
      <c r="A36" s="104">
        <v>100</v>
      </c>
      <c r="B36" s="93">
        <f t="shared" si="13"/>
        <v>66.63341742868982</v>
      </c>
      <c r="C36" s="82">
        <f t="shared" si="14"/>
        <v>73.87669847900456</v>
      </c>
      <c r="D36" s="56">
        <f t="shared" si="0"/>
        <v>73.87669847900456</v>
      </c>
      <c r="E36" s="60">
        <f t="shared" si="15"/>
        <v>0.36817018763769854</v>
      </c>
      <c r="F36" s="56">
        <f t="shared" si="16"/>
        <v>0</v>
      </c>
      <c r="G36" s="75">
        <f t="shared" si="17"/>
        <v>4.144438327032372</v>
      </c>
      <c r="H36" s="83">
        <f t="shared" si="1"/>
        <v>0.8216373953430944</v>
      </c>
      <c r="I36" s="114">
        <f t="shared" si="18"/>
        <v>192.9746112186968</v>
      </c>
      <c r="J36" s="115"/>
      <c r="K36" s="82">
        <f t="shared" si="19"/>
        <v>107.31852406833156</v>
      </c>
      <c r="L36" s="56">
        <f t="shared" si="2"/>
        <v>107.31852406833156</v>
      </c>
      <c r="M36" s="60">
        <f t="shared" si="20"/>
        <v>1.3093162300929282</v>
      </c>
      <c r="N36" s="56">
        <f t="shared" si="21"/>
        <v>0</v>
      </c>
      <c r="O36" s="75">
        <f t="shared" si="22"/>
        <v>4.164933447184556</v>
      </c>
      <c r="P36" s="89">
        <f>1-EXP(-$N$10*$N$11/O36/AB36)</f>
        <v>0.8201178595117478</v>
      </c>
      <c r="Q36" s="82">
        <f t="shared" si="3"/>
        <v>292.0819077115478</v>
      </c>
      <c r="R36" s="56">
        <f t="shared" si="4"/>
        <v>431.0760928883752</v>
      </c>
      <c r="S36" s="56">
        <f t="shared" si="5"/>
        <v>433.4542930983464</v>
      </c>
      <c r="T36" s="56">
        <f t="shared" si="6"/>
        <v>2211.3913068379497</v>
      </c>
      <c r="U36" s="56">
        <f t="shared" si="7"/>
        <v>2388.23286574454</v>
      </c>
      <c r="V36" s="56">
        <f t="shared" si="8"/>
        <v>309.2640549326949</v>
      </c>
      <c r="W36" s="56">
        <f t="shared" si="9"/>
        <v>450.0159021164992</v>
      </c>
      <c r="X36" s="93">
        <f t="shared" si="10"/>
        <v>466.6173206307993</v>
      </c>
      <c r="Y36" s="95">
        <f t="shared" si="23"/>
        <v>10.037076774077462</v>
      </c>
      <c r="Z36" s="75">
        <f t="shared" si="24"/>
        <v>10.037076774077462</v>
      </c>
      <c r="AA36" s="96">
        <f t="shared" si="25"/>
        <v>10.90664033370393</v>
      </c>
      <c r="AB36" s="93">
        <f t="shared" si="26"/>
        <v>139.96292322592254</v>
      </c>
      <c r="AC36" s="98">
        <f t="shared" si="11"/>
        <v>212.86550402636266</v>
      </c>
      <c r="AD36" s="56">
        <f t="shared" si="12"/>
        <v>2.40762319959884</v>
      </c>
      <c r="AE36" s="99">
        <f t="shared" si="27"/>
        <v>450.95929628443776</v>
      </c>
      <c r="AF36" s="100">
        <f t="shared" si="28"/>
        <v>0.40211515709160156</v>
      </c>
    </row>
    <row r="37" spans="1:32" ht="12.75">
      <c r="A37" s="104">
        <v>105</v>
      </c>
      <c r="B37" s="93">
        <f t="shared" si="13"/>
        <v>69.13341742868982</v>
      </c>
      <c r="C37" s="82">
        <f t="shared" si="14"/>
        <v>76.8416529425978</v>
      </c>
      <c r="D37" s="56">
        <f t="shared" si="0"/>
        <v>76.8416529425978</v>
      </c>
      <c r="E37" s="60">
        <f t="shared" si="15"/>
        <v>0.41667421882747846</v>
      </c>
      <c r="F37" s="56">
        <f t="shared" si="16"/>
        <v>0</v>
      </c>
      <c r="G37" s="75">
        <f t="shared" si="17"/>
        <v>4.144919760304076</v>
      </c>
      <c r="H37" s="83">
        <f t="shared" si="1"/>
        <v>0.8231034378885259</v>
      </c>
      <c r="I37" s="114">
        <f t="shared" si="18"/>
        <v>192.9746112186968</v>
      </c>
      <c r="J37" s="115"/>
      <c r="K37" s="82">
        <f t="shared" si="19"/>
        <v>112.79985651077448</v>
      </c>
      <c r="L37" s="56">
        <f t="shared" si="2"/>
        <v>112.79985651077448</v>
      </c>
      <c r="M37" s="60">
        <f t="shared" si="20"/>
        <v>1.5739137012620275</v>
      </c>
      <c r="N37" s="56">
        <f t="shared" si="21"/>
        <v>0</v>
      </c>
      <c r="O37" s="75">
        <f t="shared" si="22"/>
        <v>4.168299203224826</v>
      </c>
      <c r="P37" s="89">
        <f>1-EXP(-$N$10*$N$11/O37/AB37)</f>
        <v>0.8213764008530162</v>
      </c>
      <c r="Q37" s="82">
        <f t="shared" si="3"/>
        <v>302.4654211884793</v>
      </c>
      <c r="R37" s="56">
        <f t="shared" si="4"/>
        <v>451.9990287514929</v>
      </c>
      <c r="S37" s="56">
        <f t="shared" si="5"/>
        <v>454.70552608113667</v>
      </c>
      <c r="T37" s="56">
        <f t="shared" si="6"/>
        <v>2227.5956222700847</v>
      </c>
      <c r="U37" s="56">
        <f t="shared" si="7"/>
        <v>2416.017188905859</v>
      </c>
      <c r="V37" s="56">
        <f t="shared" si="8"/>
        <v>321.6969246589536</v>
      </c>
      <c r="W37" s="56">
        <f t="shared" si="9"/>
        <v>473.2238132331648</v>
      </c>
      <c r="X37" s="93">
        <f t="shared" si="10"/>
        <v>489.8692940728373</v>
      </c>
      <c r="Y37" s="95">
        <f t="shared" si="23"/>
        <v>10.720141409142848</v>
      </c>
      <c r="Z37" s="75">
        <f t="shared" si="24"/>
        <v>10.720141409142848</v>
      </c>
      <c r="AA37" s="96">
        <f t="shared" si="25"/>
        <v>11.702271928178654</v>
      </c>
      <c r="AB37" s="93">
        <f t="shared" si="26"/>
        <v>139.27985859085715</v>
      </c>
      <c r="AC37" s="98">
        <f t="shared" si="11"/>
        <v>211.90923854154218</v>
      </c>
      <c r="AD37" s="56">
        <f t="shared" si="12"/>
        <v>2.4084986179859382</v>
      </c>
      <c r="AE37" s="99">
        <f t="shared" si="27"/>
        <v>447.7716113370191</v>
      </c>
      <c r="AF37" s="100">
        <f t="shared" si="28"/>
        <v>0.40313601620790646</v>
      </c>
    </row>
    <row r="38" spans="1:32" ht="12.75">
      <c r="A38" s="104">
        <v>110</v>
      </c>
      <c r="B38" s="93">
        <f t="shared" si="13"/>
        <v>71.63341742868982</v>
      </c>
      <c r="C38" s="82">
        <f t="shared" si="14"/>
        <v>79.79676782777229</v>
      </c>
      <c r="D38" s="56">
        <f t="shared" si="0"/>
        <v>79.79676782777229</v>
      </c>
      <c r="E38" s="60">
        <f t="shared" si="15"/>
        <v>0.47025875552791496</v>
      </c>
      <c r="F38" s="56">
        <f t="shared" si="16"/>
        <v>0</v>
      </c>
      <c r="G38" s="75">
        <f t="shared" si="17"/>
        <v>4.145421519430731</v>
      </c>
      <c r="H38" s="83">
        <f t="shared" si="1"/>
        <v>0.8245570135620685</v>
      </c>
      <c r="I38" s="114">
        <f t="shared" si="18"/>
        <v>192.9746112186968</v>
      </c>
      <c r="J38" s="115"/>
      <c r="K38" s="82">
        <f t="shared" si="19"/>
        <v>118.27354208310294</v>
      </c>
      <c r="L38" s="56">
        <f t="shared" si="2"/>
        <v>118.27354208310294</v>
      </c>
      <c r="M38" s="60">
        <f t="shared" si="20"/>
        <v>1.8804312859975605</v>
      </c>
      <c r="N38" s="56">
        <f t="shared" si="21"/>
        <v>0</v>
      </c>
      <c r="O38" s="75">
        <f t="shared" si="22"/>
        <v>4.171891116371365</v>
      </c>
      <c r="P38" s="89">
        <f>1-EXP(-$N$10*$N$11/O38/AB38)</f>
        <v>0.8226089200145374</v>
      </c>
      <c r="Q38" s="82">
        <f t="shared" si="3"/>
        <v>312.8529837661853</v>
      </c>
      <c r="R38" s="56">
        <f t="shared" si="4"/>
        <v>472.9526527050625</v>
      </c>
      <c r="S38" s="56">
        <f t="shared" si="5"/>
        <v>476.00584331879304</v>
      </c>
      <c r="T38" s="56">
        <f t="shared" si="6"/>
        <v>2243.6418275401543</v>
      </c>
      <c r="U38" s="56">
        <f t="shared" si="7"/>
        <v>2443.438245435586</v>
      </c>
      <c r="V38" s="56">
        <f t="shared" si="8"/>
        <v>334.0957151645396</v>
      </c>
      <c r="W38" s="56">
        <f t="shared" si="9"/>
        <v>496.44844286411455</v>
      </c>
      <c r="X38" s="93">
        <f t="shared" si="10"/>
        <v>513.136032466841</v>
      </c>
      <c r="Y38" s="95">
        <f t="shared" si="23"/>
        <v>11.397214340223446</v>
      </c>
      <c r="Z38" s="75">
        <f t="shared" si="24"/>
        <v>11.397214340223444</v>
      </c>
      <c r="AA38" s="96">
        <f t="shared" si="25"/>
        <v>12.495890546459478</v>
      </c>
      <c r="AB38" s="93">
        <f t="shared" si="26"/>
        <v>138.60278565977654</v>
      </c>
      <c r="AC38" s="98">
        <f t="shared" si="11"/>
        <v>210.89868827311497</v>
      </c>
      <c r="AD38" s="56">
        <f t="shared" si="12"/>
        <v>2.409407902424508</v>
      </c>
      <c r="AE38" s="99">
        <f t="shared" si="27"/>
        <v>444.57656375137066</v>
      </c>
      <c r="AF38" s="100">
        <f t="shared" si="28"/>
        <v>0.40407293307907255</v>
      </c>
    </row>
    <row r="39" spans="1:32" ht="12.75">
      <c r="A39" s="104">
        <v>115</v>
      </c>
      <c r="B39" s="93">
        <f t="shared" si="13"/>
        <v>74.13341742868982</v>
      </c>
      <c r="C39" s="82">
        <f t="shared" si="14"/>
        <v>82.74215857447581</v>
      </c>
      <c r="D39" s="56">
        <f t="shared" si="0"/>
        <v>82.74215857447581</v>
      </c>
      <c r="E39" s="60">
        <f t="shared" si="15"/>
        <v>0.529309250699505</v>
      </c>
      <c r="F39" s="56">
        <f t="shared" si="16"/>
        <v>0</v>
      </c>
      <c r="G39" s="75">
        <f t="shared" si="17"/>
        <v>4.145943927420134</v>
      </c>
      <c r="H39" s="83">
        <f t="shared" si="1"/>
        <v>0.8259992962347968</v>
      </c>
      <c r="I39" s="114">
        <f t="shared" si="18"/>
        <v>192.9746112186968</v>
      </c>
      <c r="J39" s="115"/>
      <c r="K39" s="82">
        <f t="shared" si="19"/>
        <v>123.73982785200948</v>
      </c>
      <c r="L39" s="56">
        <f t="shared" si="2"/>
        <v>123.73982785200948</v>
      </c>
      <c r="M39" s="60">
        <f t="shared" si="20"/>
        <v>2.233606387574564</v>
      </c>
      <c r="N39" s="56">
        <f t="shared" si="21"/>
        <v>0</v>
      </c>
      <c r="O39" s="75">
        <f t="shared" si="22"/>
        <v>4.175712358626116</v>
      </c>
      <c r="P39" s="89">
        <f>1-EXP(-$N$10*$N$11/O39/AB39)</f>
        <v>0.8238165636774042</v>
      </c>
      <c r="Q39" s="82">
        <f t="shared" si="3"/>
        <v>323.2448323353947</v>
      </c>
      <c r="R39" s="56">
        <f t="shared" si="4"/>
        <v>493.93919158549903</v>
      </c>
      <c r="S39" s="56">
        <f t="shared" si="5"/>
        <v>497.3573192270296</v>
      </c>
      <c r="T39" s="56">
        <f t="shared" si="6"/>
        <v>2259.532437634374</v>
      </c>
      <c r="U39" s="56">
        <f t="shared" si="7"/>
        <v>2470.503160741052</v>
      </c>
      <c r="V39" s="56">
        <f t="shared" si="8"/>
        <v>346.4613987188467</v>
      </c>
      <c r="W39" s="56">
        <f t="shared" si="9"/>
        <v>519.694743020665</v>
      </c>
      <c r="X39" s="93">
        <f t="shared" si="10"/>
        <v>536.4219503327959</v>
      </c>
      <c r="Y39" s="95">
        <f t="shared" si="23"/>
        <v>12.068875971059732</v>
      </c>
      <c r="Z39" s="75">
        <f t="shared" si="24"/>
        <v>12.068875971059732</v>
      </c>
      <c r="AA39" s="96">
        <f t="shared" si="25"/>
        <v>13.287669920221267</v>
      </c>
      <c r="AB39" s="93">
        <f t="shared" si="26"/>
        <v>137.93112402894027</v>
      </c>
      <c r="AC39" s="98">
        <f t="shared" si="11"/>
        <v>209.83510169247776</v>
      </c>
      <c r="AD39" s="56">
        <f t="shared" si="12"/>
        <v>2.410340256782065</v>
      </c>
      <c r="AE39" s="99">
        <f t="shared" si="27"/>
        <v>441.3738423651352</v>
      </c>
      <c r="AF39" s="100">
        <f t="shared" si="28"/>
        <v>0.40492687541304073</v>
      </c>
    </row>
    <row r="40" spans="1:32" ht="12.75">
      <c r="A40" s="104">
        <v>120</v>
      </c>
      <c r="B40" s="93">
        <f t="shared" si="13"/>
        <v>76.63341742868982</v>
      </c>
      <c r="C40" s="82">
        <f t="shared" si="14"/>
        <v>85.67792431799211</v>
      </c>
      <c r="D40" s="56">
        <f t="shared" si="0"/>
        <v>85.67792431799211</v>
      </c>
      <c r="E40" s="60">
        <f t="shared" si="15"/>
        <v>0.5942272738439558</v>
      </c>
      <c r="F40" s="56">
        <f t="shared" si="16"/>
        <v>0</v>
      </c>
      <c r="G40" s="75">
        <f t="shared" si="17"/>
        <v>4.146487292373408</v>
      </c>
      <c r="H40" s="83">
        <f t="shared" si="1"/>
        <v>0.8274314275397894</v>
      </c>
      <c r="I40" s="114">
        <f t="shared" si="18"/>
        <v>192.9746112186968</v>
      </c>
      <c r="J40" s="115"/>
      <c r="K40" s="82">
        <f t="shared" si="19"/>
        <v>129.19894536878567</v>
      </c>
      <c r="L40" s="56">
        <f t="shared" si="2"/>
        <v>129.19894536878567</v>
      </c>
      <c r="M40" s="60">
        <f t="shared" si="20"/>
        <v>2.638473282529634</v>
      </c>
      <c r="N40" s="56">
        <f t="shared" si="21"/>
        <v>0</v>
      </c>
      <c r="O40" s="75">
        <f t="shared" si="22"/>
        <v>4.17976654797094</v>
      </c>
      <c r="P40" s="89">
        <f>1-EXP(-$N$10*$N$11/O40/AB40)</f>
        <v>0.8250004189196221</v>
      </c>
      <c r="Q40" s="82">
        <f t="shared" si="3"/>
        <v>333.6412062466764</v>
      </c>
      <c r="R40" s="56">
        <f t="shared" si="4"/>
        <v>514.9609551962773</v>
      </c>
      <c r="S40" s="56">
        <f t="shared" si="5"/>
        <v>518.7621795217964</v>
      </c>
      <c r="T40" s="56">
        <f t="shared" si="6"/>
        <v>2275.269831693369</v>
      </c>
      <c r="U40" s="56">
        <f t="shared" si="7"/>
        <v>2497.2187767371734</v>
      </c>
      <c r="V40" s="56">
        <f t="shared" si="8"/>
        <v>358.7948707737056</v>
      </c>
      <c r="W40" s="56">
        <f t="shared" si="9"/>
        <v>542.9677506737834</v>
      </c>
      <c r="X40" s="93">
        <f t="shared" si="10"/>
        <v>559.7314979853226</v>
      </c>
      <c r="Y40" s="95">
        <f t="shared" si="23"/>
        <v>12.735687648785458</v>
      </c>
      <c r="Z40" s="75">
        <f t="shared" si="24"/>
        <v>12.735687648785454</v>
      </c>
      <c r="AA40" s="96">
        <f t="shared" si="25"/>
        <v>14.077779848889726</v>
      </c>
      <c r="AB40" s="93">
        <f t="shared" si="26"/>
        <v>137.26431235121453</v>
      </c>
      <c r="AC40" s="98">
        <f t="shared" si="11"/>
        <v>208.71962907312312</v>
      </c>
      <c r="AD40" s="56">
        <f t="shared" si="12"/>
        <v>2.4112829696940548</v>
      </c>
      <c r="AE40" s="99">
        <f t="shared" si="27"/>
        <v>438.1631133209202</v>
      </c>
      <c r="AF40" s="100">
        <f t="shared" si="28"/>
        <v>0.4056986646800451</v>
      </c>
    </row>
    <row r="41" spans="1:32" ht="12.75">
      <c r="A41" s="104">
        <v>125</v>
      </c>
      <c r="B41" s="93">
        <f t="shared" si="13"/>
        <v>79.13341742868982</v>
      </c>
      <c r="C41" s="82">
        <f t="shared" si="14"/>
        <v>88.60414833730171</v>
      </c>
      <c r="D41" s="56">
        <f t="shared" si="0"/>
        <v>88.60414833730171</v>
      </c>
      <c r="E41" s="60">
        <f t="shared" si="15"/>
        <v>0.6654302649546537</v>
      </c>
      <c r="F41" s="56">
        <f t="shared" si="16"/>
        <v>0</v>
      </c>
      <c r="G41" s="75">
        <f t="shared" si="17"/>
        <v>4.1470519069297636</v>
      </c>
      <c r="H41" s="83">
        <f t="shared" si="1"/>
        <v>0.8288545230507417</v>
      </c>
      <c r="I41" s="114">
        <f t="shared" si="18"/>
        <v>192.9746112186968</v>
      </c>
      <c r="J41" s="115"/>
      <c r="K41" s="82">
        <f t="shared" si="19"/>
        <v>134.6511121362989</v>
      </c>
      <c r="L41" s="56">
        <f t="shared" si="2"/>
        <v>134.6511121362989</v>
      </c>
      <c r="M41" s="60">
        <f t="shared" si="20"/>
        <v>3.100361468803277</v>
      </c>
      <c r="N41" s="56">
        <f t="shared" si="21"/>
        <v>0</v>
      </c>
      <c r="O41" s="75">
        <f t="shared" si="22"/>
        <v>4.184057871268865</v>
      </c>
      <c r="P41" s="89">
        <f>1-EXP(-$N$10*$N$11/O41/AB41)</f>
        <v>0.8261615114401328</v>
      </c>
      <c r="Q41" s="82">
        <f t="shared" si="3"/>
        <v>344.0423470922582</v>
      </c>
      <c r="R41" s="56">
        <f t="shared" si="4"/>
        <v>536.0203509945703</v>
      </c>
      <c r="S41" s="56">
        <f t="shared" si="5"/>
        <v>540.2228149825297</v>
      </c>
      <c r="T41" s="56">
        <f t="shared" si="6"/>
        <v>2290.8562594899417</v>
      </c>
      <c r="U41" s="56">
        <f t="shared" si="7"/>
        <v>2523.591672456467</v>
      </c>
      <c r="V41" s="56">
        <f t="shared" si="8"/>
        <v>371.0969525574475</v>
      </c>
      <c r="W41" s="56">
        <f t="shared" si="9"/>
        <v>566.272620055113</v>
      </c>
      <c r="X41" s="93">
        <f t="shared" si="10"/>
        <v>583.069196669303</v>
      </c>
      <c r="Y41" s="95">
        <f t="shared" si="23"/>
        <v>13.398194772978947</v>
      </c>
      <c r="Z41" s="75">
        <f t="shared" si="24"/>
        <v>13.398194772978947</v>
      </c>
      <c r="AA41" s="96">
        <f t="shared" si="25"/>
        <v>14.866386431628532</v>
      </c>
      <c r="AB41" s="93">
        <f t="shared" si="26"/>
        <v>136.60180522702106</v>
      </c>
      <c r="AC41" s="98">
        <f t="shared" si="11"/>
        <v>207.55332736050525</v>
      </c>
      <c r="AD41" s="56">
        <f t="shared" si="12"/>
        <v>2.4122213004845676</v>
      </c>
      <c r="AE41" s="99">
        <f t="shared" si="27"/>
        <v>434.94401800181026</v>
      </c>
      <c r="AF41" s="100">
        <f t="shared" si="28"/>
        <v>0.40638898226752074</v>
      </c>
    </row>
    <row r="42" spans="1:32" ht="12.75">
      <c r="A42" s="104">
        <v>130</v>
      </c>
      <c r="B42" s="93">
        <f t="shared" si="13"/>
        <v>81.63341742868982</v>
      </c>
      <c r="C42" s="82">
        <f t="shared" si="14"/>
        <v>91.5208983740835</v>
      </c>
      <c r="D42" s="56">
        <f t="shared" si="0"/>
        <v>91.5208983740835</v>
      </c>
      <c r="E42" s="60">
        <f t="shared" si="15"/>
        <v>0.7433512225225165</v>
      </c>
      <c r="F42" s="56">
        <f t="shared" si="16"/>
        <v>0</v>
      </c>
      <c r="G42" s="75">
        <f t="shared" si="17"/>
        <v>4.147638048009806</v>
      </c>
      <c r="H42" s="83">
        <f t="shared" si="1"/>
        <v>0.8302696782249614</v>
      </c>
      <c r="I42" s="114">
        <f t="shared" si="18"/>
        <v>192.9746112186968</v>
      </c>
      <c r="J42" s="115"/>
      <c r="K42" s="82">
        <f t="shared" si="19"/>
        <v>140.09653297963368</v>
      </c>
      <c r="L42" s="56">
        <f t="shared" si="2"/>
        <v>140.09653297963368</v>
      </c>
      <c r="M42" s="60">
        <f t="shared" si="20"/>
        <v>3.62489307188685</v>
      </c>
      <c r="N42" s="56">
        <f t="shared" si="21"/>
        <v>0</v>
      </c>
      <c r="O42" s="75">
        <f t="shared" si="22"/>
        <v>4.188591187794857</v>
      </c>
      <c r="P42" s="89">
        <f>1-EXP(-$N$10*$N$11/O42/AB42)</f>
        <v>0.8273008052258911</v>
      </c>
      <c r="Q42" s="82">
        <f t="shared" si="3"/>
        <v>354.44849856262806</v>
      </c>
      <c r="R42" s="56">
        <f t="shared" si="4"/>
        <v>557.1198996989018</v>
      </c>
      <c r="S42" s="56">
        <f t="shared" si="5"/>
        <v>561.741797002974</v>
      </c>
      <c r="T42" s="56">
        <f t="shared" si="6"/>
        <v>2306.293846949074</v>
      </c>
      <c r="U42" s="56">
        <f t="shared" si="7"/>
        <v>2549.6281831499764</v>
      </c>
      <c r="V42" s="56">
        <f t="shared" si="8"/>
        <v>383.3683931192437</v>
      </c>
      <c r="W42" s="56">
        <f t="shared" si="9"/>
        <v>589.6146546013094</v>
      </c>
      <c r="X42" s="93">
        <f t="shared" si="10"/>
        <v>606.4396734312946</v>
      </c>
      <c r="Y42" s="95">
        <f t="shared" si="23"/>
        <v>14.056929769640476</v>
      </c>
      <c r="Z42" s="75">
        <f t="shared" si="24"/>
        <v>14.056929769640474</v>
      </c>
      <c r="AA42" s="96">
        <f t="shared" si="25"/>
        <v>15.653652289629052</v>
      </c>
      <c r="AB42" s="93">
        <f t="shared" si="26"/>
        <v>135.94307023035952</v>
      </c>
      <c r="AC42" s="98">
        <f t="shared" si="11"/>
        <v>206.33716432485022</v>
      </c>
      <c r="AD42" s="56">
        <f t="shared" si="12"/>
        <v>2.413138375735567</v>
      </c>
      <c r="AE42" s="99">
        <f t="shared" si="27"/>
        <v>431.7161706987436</v>
      </c>
      <c r="AF42" s="100">
        <f t="shared" si="28"/>
        <v>0.4069983746354006</v>
      </c>
    </row>
    <row r="43" spans="1:32" ht="12.75">
      <c r="A43" s="104">
        <v>135</v>
      </c>
      <c r="B43" s="93">
        <f t="shared" si="13"/>
        <v>84.13341742868982</v>
      </c>
      <c r="C43" s="82">
        <f t="shared" si="14"/>
        <v>94.42822683047905</v>
      </c>
      <c r="D43" s="56">
        <f t="shared" si="0"/>
        <v>94.42822683047905</v>
      </c>
      <c r="E43" s="60">
        <f t="shared" si="15"/>
        <v>0.828438323319871</v>
      </c>
      <c r="F43" s="56">
        <f t="shared" si="16"/>
        <v>0</v>
      </c>
      <c r="G43" s="75">
        <f t="shared" si="17"/>
        <v>4.1482459768113875</v>
      </c>
      <c r="H43" s="83">
        <f t="shared" si="1"/>
        <v>0.8316779741324857</v>
      </c>
      <c r="I43" s="114">
        <f t="shared" si="18"/>
        <v>192.9746112186968</v>
      </c>
      <c r="J43" s="115"/>
      <c r="K43" s="82">
        <f t="shared" si="19"/>
        <v>145.53540130055703</v>
      </c>
      <c r="L43" s="56">
        <f t="shared" si="2"/>
        <v>145.53540130055703</v>
      </c>
      <c r="M43" s="60">
        <f t="shared" si="20"/>
        <v>4.217979426899614</v>
      </c>
      <c r="N43" s="56">
        <f t="shared" si="21"/>
        <v>0</v>
      </c>
      <c r="O43" s="75">
        <f t="shared" si="22"/>
        <v>4.193372115762606</v>
      </c>
      <c r="P43" s="89">
        <f>1-EXP(-$N$10*$N$11/O43/AB43)</f>
        <v>0.828419203481403</v>
      </c>
      <c r="Q43" s="82">
        <f t="shared" si="3"/>
        <v>364.8599063744574</v>
      </c>
      <c r="R43" s="56">
        <f t="shared" si="4"/>
        <v>578.2622516725969</v>
      </c>
      <c r="S43" s="56">
        <f t="shared" si="5"/>
        <v>583.3218946894841</v>
      </c>
      <c r="T43" s="56">
        <f t="shared" si="6"/>
        <v>2321.584600808585</v>
      </c>
      <c r="U43" s="56">
        <f t="shared" si="7"/>
        <v>2575.33441759703</v>
      </c>
      <c r="V43" s="56">
        <f t="shared" si="8"/>
        <v>395.6098708525401</v>
      </c>
      <c r="W43" s="56">
        <f t="shared" si="9"/>
        <v>612.9993384829477</v>
      </c>
      <c r="X43" s="93">
        <f t="shared" si="10"/>
        <v>629.8476953593929</v>
      </c>
      <c r="Y43" s="95">
        <f t="shared" si="23"/>
        <v>14.712414942887035</v>
      </c>
      <c r="Z43" s="75">
        <f t="shared" si="24"/>
        <v>14.712414942887037</v>
      </c>
      <c r="AA43" s="96">
        <f t="shared" si="25"/>
        <v>16.439736779737665</v>
      </c>
      <c r="AB43" s="93">
        <f t="shared" si="26"/>
        <v>135.28758505711298</v>
      </c>
      <c r="AC43" s="98">
        <f t="shared" si="11"/>
        <v>205.07202206366864</v>
      </c>
      <c r="AD43" s="56">
        <f t="shared" si="12"/>
        <v>2.414015091339762</v>
      </c>
      <c r="AE43" s="99">
        <f t="shared" si="27"/>
        <v>428.47915604576707</v>
      </c>
      <c r="AF43" s="100">
        <f t="shared" si="28"/>
        <v>0.40752725752324076</v>
      </c>
    </row>
    <row r="44" spans="1:32" ht="12.75">
      <c r="A44" s="104">
        <v>140</v>
      </c>
      <c r="B44" s="93">
        <f t="shared" si="13"/>
        <v>86.63341742868982</v>
      </c>
      <c r="C44" s="82">
        <f t="shared" si="14"/>
        <v>97.32617085218314</v>
      </c>
      <c r="D44" s="56">
        <f t="shared" si="0"/>
        <v>97.32617085218314</v>
      </c>
      <c r="E44" s="60">
        <f t="shared" si="15"/>
        <v>0.9211544714321872</v>
      </c>
      <c r="F44" s="56">
        <f t="shared" si="16"/>
        <v>0</v>
      </c>
      <c r="G44" s="75">
        <f t="shared" si="17"/>
        <v>4.148875939017349</v>
      </c>
      <c r="H44" s="83">
        <f t="shared" si="1"/>
        <v>0.833080483001561</v>
      </c>
      <c r="I44" s="114">
        <f t="shared" si="18"/>
        <v>192.9746112186968</v>
      </c>
      <c r="J44" s="115"/>
      <c r="K44" s="82">
        <f t="shared" si="19"/>
        <v>150.96790020092715</v>
      </c>
      <c r="L44" s="56">
        <f t="shared" si="2"/>
        <v>150.96790020092715</v>
      </c>
      <c r="M44" s="60">
        <f t="shared" si="20"/>
        <v>4.885816956741343</v>
      </c>
      <c r="N44" s="56">
        <f t="shared" si="21"/>
        <v>0</v>
      </c>
      <c r="O44" s="75">
        <f t="shared" si="22"/>
        <v>4.198407104338808</v>
      </c>
      <c r="P44" s="89">
        <f>1-EXP(-$N$10*$N$11/O44/AB44)</f>
        <v>0.8295175506461023</v>
      </c>
      <c r="Q44" s="82">
        <f t="shared" si="3"/>
        <v>375.2768182655193</v>
      </c>
      <c r="R44" s="56">
        <f t="shared" si="4"/>
        <v>599.4502040077466</v>
      </c>
      <c r="S44" s="56">
        <f t="shared" si="5"/>
        <v>604.9660933508316</v>
      </c>
      <c r="T44" s="56">
        <f t="shared" si="6"/>
        <v>2336.730412504099</v>
      </c>
      <c r="U44" s="56">
        <f t="shared" si="7"/>
        <v>2600.7162734399353</v>
      </c>
      <c r="V44" s="56">
        <f t="shared" si="8"/>
        <v>407.8219945172612</v>
      </c>
      <c r="W44" s="56">
        <f t="shared" si="9"/>
        <v>636.4323677570592</v>
      </c>
      <c r="X44" s="93">
        <f t="shared" si="10"/>
        <v>653.2982030090585</v>
      </c>
      <c r="Y44" s="95">
        <f t="shared" si="23"/>
        <v>15.365165220764778</v>
      </c>
      <c r="Z44" s="75">
        <f t="shared" si="24"/>
        <v>15.365165220764784</v>
      </c>
      <c r="AA44" s="96">
        <f t="shared" si="25"/>
        <v>17.224796200142723</v>
      </c>
      <c r="AB44" s="93">
        <f t="shared" si="26"/>
        <v>134.63483477923523</v>
      </c>
      <c r="AC44" s="98">
        <f t="shared" si="11"/>
        <v>203.75869991197095</v>
      </c>
      <c r="AD44" s="56">
        <f t="shared" si="12"/>
        <v>2.4148300146294464</v>
      </c>
      <c r="AE44" s="99">
        <f t="shared" si="27"/>
        <v>425.23252624656493</v>
      </c>
      <c r="AF44" s="100">
        <f t="shared" si="28"/>
        <v>0.4079759192561296</v>
      </c>
    </row>
    <row r="45" spans="1:32" ht="12.75">
      <c r="A45" s="104">
        <v>145</v>
      </c>
      <c r="B45" s="93">
        <f t="shared" si="13"/>
        <v>89.13341742868982</v>
      </c>
      <c r="C45" s="82">
        <f t="shared" si="14"/>
        <v>100.21475230184741</v>
      </c>
      <c r="D45" s="56">
        <f t="shared" si="0"/>
        <v>100.21475230184741</v>
      </c>
      <c r="E45" s="60">
        <f t="shared" si="15"/>
        <v>1.0219767736949117</v>
      </c>
      <c r="F45" s="56">
        <f t="shared" si="16"/>
        <v>0</v>
      </c>
      <c r="G45" s="75">
        <f t="shared" si="17"/>
        <v>4.149528165179862</v>
      </c>
      <c r="H45" s="83">
        <f t="shared" si="1"/>
        <v>0.8344782736169594</v>
      </c>
      <c r="I45" s="114">
        <f t="shared" si="18"/>
        <v>192.9746112186968</v>
      </c>
      <c r="J45" s="115"/>
      <c r="K45" s="82">
        <f t="shared" si="19"/>
        <v>156.39420346413533</v>
      </c>
      <c r="L45" s="56">
        <f t="shared" si="2"/>
        <v>156.39420346413533</v>
      </c>
      <c r="M45" s="60">
        <f t="shared" si="20"/>
        <v>5.634882466611616</v>
      </c>
      <c r="N45" s="56">
        <f t="shared" si="21"/>
        <v>0</v>
      </c>
      <c r="O45" s="75">
        <f t="shared" si="22"/>
        <v>4.203703493620897</v>
      </c>
      <c r="P45" s="89">
        <f>1-EXP(-$N$10*$N$11/O45/AB45)</f>
        <v>0.8305966353391895</v>
      </c>
      <c r="Q45" s="82">
        <f t="shared" si="3"/>
        <v>385.699484051769</v>
      </c>
      <c r="R45" s="56">
        <f t="shared" si="4"/>
        <v>620.6867182970623</v>
      </c>
      <c r="S45" s="56">
        <f t="shared" si="5"/>
        <v>626.6776143014051</v>
      </c>
      <c r="T45" s="56">
        <f t="shared" si="6"/>
        <v>2351.7330613478416</v>
      </c>
      <c r="U45" s="56">
        <f t="shared" si="7"/>
        <v>2625.77945048254</v>
      </c>
      <c r="V45" s="56">
        <f t="shared" si="8"/>
        <v>420.0053037722082</v>
      </c>
      <c r="W45" s="56">
        <f t="shared" si="9"/>
        <v>659.9196812657883</v>
      </c>
      <c r="X45" s="93">
        <f t="shared" si="10"/>
        <v>676.796342981812</v>
      </c>
      <c r="Y45" s="95">
        <f t="shared" si="23"/>
        <v>16.01569081419424</v>
      </c>
      <c r="Z45" s="75">
        <f t="shared" si="24"/>
        <v>16.01569081419424</v>
      </c>
      <c r="AA45" s="96">
        <f t="shared" si="25"/>
        <v>18.00898398859311</v>
      </c>
      <c r="AB45" s="93">
        <f t="shared" si="26"/>
        <v>133.98430918580576</v>
      </c>
      <c r="AC45" s="98">
        <f t="shared" si="11"/>
        <v>202.39791680880435</v>
      </c>
      <c r="AD45" s="56">
        <f t="shared" si="12"/>
        <v>2.4155592811162068</v>
      </c>
      <c r="AE45" s="99">
        <f t="shared" si="27"/>
        <v>421.97579810397895</v>
      </c>
      <c r="AF45" s="100">
        <f t="shared" si="28"/>
        <v>0.4083445231892648</v>
      </c>
    </row>
    <row r="46" spans="1:32" ht="12.75">
      <c r="A46" s="105">
        <v>150</v>
      </c>
      <c r="B46" s="93">
        <f t="shared" si="13"/>
        <v>91.63341742868982</v>
      </c>
      <c r="C46" s="82">
        <f t="shared" si="14"/>
        <v>103.09397762620374</v>
      </c>
      <c r="D46" s="56">
        <f t="shared" si="0"/>
        <v>103.09397762620374</v>
      </c>
      <c r="E46" s="60">
        <f t="shared" si="15"/>
        <v>1.13139593831478</v>
      </c>
      <c r="F46" s="56">
        <f t="shared" si="16"/>
        <v>0</v>
      </c>
      <c r="G46" s="75">
        <f t="shared" si="17"/>
        <v>4.150202871250379</v>
      </c>
      <c r="H46" s="83">
        <f t="shared" si="1"/>
        <v>0.8358724166123157</v>
      </c>
      <c r="I46" s="114">
        <f t="shared" si="18"/>
        <v>192.9746112186968</v>
      </c>
      <c r="J46" s="115"/>
      <c r="K46" s="82">
        <f t="shared" si="19"/>
        <v>161.8144763867042</v>
      </c>
      <c r="L46" s="56">
        <f t="shared" si="2"/>
        <v>161.8144763867042</v>
      </c>
      <c r="M46" s="60">
        <f t="shared" si="20"/>
        <v>6.471927973613449</v>
      </c>
      <c r="N46" s="56">
        <f t="shared" si="21"/>
        <v>0</v>
      </c>
      <c r="O46" s="75">
        <f t="shared" si="22"/>
        <v>4.209269564955652</v>
      </c>
      <c r="P46" s="89">
        <f>1-EXP(-$N$10*$N$11/O46/AB46)</f>
        <v>0.831657194090329</v>
      </c>
      <c r="Q46" s="82">
        <f t="shared" si="3"/>
        <v>396.1281557415675</v>
      </c>
      <c r="R46" s="56">
        <f t="shared" si="4"/>
        <v>641.9749391377217</v>
      </c>
      <c r="S46" s="56">
        <f t="shared" si="5"/>
        <v>648.4599359718693</v>
      </c>
      <c r="T46" s="56">
        <f t="shared" si="6"/>
        <v>2366.594217057358</v>
      </c>
      <c r="U46" s="56">
        <f t="shared" si="7"/>
        <v>2650.5294620104655</v>
      </c>
      <c r="V46" s="56">
        <f t="shared" si="8"/>
        <v>432.16026922175575</v>
      </c>
      <c r="W46" s="56">
        <f t="shared" si="9"/>
        <v>683.4674914750202</v>
      </c>
      <c r="X46" s="93">
        <f t="shared" si="10"/>
        <v>700.3474997434026</v>
      </c>
      <c r="Y46" s="95">
        <f t="shared" si="23"/>
        <v>16.664499809992158</v>
      </c>
      <c r="Z46" s="75">
        <f t="shared" si="24"/>
        <v>16.664499809992158</v>
      </c>
      <c r="AA46" s="96">
        <f t="shared" si="25"/>
        <v>18.792450913428482</v>
      </c>
      <c r="AB46" s="93">
        <f t="shared" si="26"/>
        <v>133.33550019000785</v>
      </c>
      <c r="AC46" s="98">
        <f t="shared" si="11"/>
        <v>200.99031315910392</v>
      </c>
      <c r="AD46" s="56">
        <f t="shared" si="12"/>
        <v>2.416176480400727</v>
      </c>
      <c r="AE46" s="99">
        <f t="shared" si="27"/>
        <v>418.70844985340926</v>
      </c>
      <c r="AF46" s="100">
        <f t="shared" si="28"/>
        <v>0.4086331093221349</v>
      </c>
    </row>
    <row r="47" spans="1:32" ht="12.75">
      <c r="A47" s="104">
        <v>155</v>
      </c>
      <c r="B47" s="93">
        <f t="shared" si="13"/>
        <v>94.13341742868982</v>
      </c>
      <c r="C47" s="82">
        <f t="shared" si="14"/>
        <v>105.96383761872265</v>
      </c>
      <c r="D47" s="56">
        <f t="shared" si="0"/>
        <v>105.96383761872265</v>
      </c>
      <c r="E47" s="60">
        <f t="shared" si="15"/>
        <v>1.2499155930038417</v>
      </c>
      <c r="F47" s="56">
        <f t="shared" si="16"/>
        <v>0</v>
      </c>
      <c r="G47" s="75">
        <f t="shared" si="17"/>
        <v>4.15090025922821</v>
      </c>
      <c r="H47" s="83">
        <f t="shared" si="1"/>
        <v>0.8372639897015987</v>
      </c>
      <c r="I47" s="114">
        <f t="shared" si="18"/>
        <v>192.9746112186968</v>
      </c>
      <c r="J47" s="115"/>
      <c r="K47" s="82">
        <f t="shared" si="19"/>
        <v>167.22887645431769</v>
      </c>
      <c r="L47" s="56">
        <f t="shared" si="2"/>
        <v>167.22887645431769</v>
      </c>
      <c r="M47" s="60">
        <f t="shared" si="20"/>
        <v>7.403975187209369</v>
      </c>
      <c r="N47" s="56">
        <f t="shared" si="21"/>
        <v>0</v>
      </c>
      <c r="O47" s="75">
        <f t="shared" si="22"/>
        <v>4.215114583832241</v>
      </c>
      <c r="P47" s="89">
        <f>1-EXP(-$N$10*$N$11/O47/AB47)</f>
        <v>0.8326999157358033</v>
      </c>
      <c r="Q47" s="82">
        <f t="shared" si="3"/>
        <v>406.5630877019496</v>
      </c>
      <c r="R47" s="56">
        <f t="shared" si="4"/>
        <v>663.3182134635855</v>
      </c>
      <c r="S47" s="56">
        <f t="shared" si="5"/>
        <v>670.3168163889276</v>
      </c>
      <c r="T47" s="56">
        <f t="shared" si="6"/>
        <v>2381.315441677504</v>
      </c>
      <c r="U47" s="56">
        <f t="shared" si="7"/>
        <v>2674.9716442820254</v>
      </c>
      <c r="V47" s="56">
        <f t="shared" si="8"/>
        <v>444.287291973843</v>
      </c>
      <c r="W47" s="56">
        <f t="shared" si="9"/>
        <v>707.0823155096762</v>
      </c>
      <c r="X47" s="93">
        <f t="shared" si="10"/>
        <v>723.9573268645837</v>
      </c>
      <c r="Y47" s="95">
        <f t="shared" si="23"/>
        <v>17.312100720523038</v>
      </c>
      <c r="Z47" s="75">
        <f t="shared" si="24"/>
        <v>17.312100720523038</v>
      </c>
      <c r="AA47" s="96">
        <f t="shared" si="25"/>
        <v>19.57534525754232</v>
      </c>
      <c r="AB47" s="93">
        <f t="shared" si="26"/>
        <v>132.68789927947697</v>
      </c>
      <c r="AC47" s="98">
        <f t="shared" si="11"/>
        <v>199.53645222034928</v>
      </c>
      <c r="AD47" s="56">
        <f t="shared" si="12"/>
        <v>2.416652525838667</v>
      </c>
      <c r="AE47" s="99">
        <f t="shared" si="27"/>
        <v>415.42991779085054</v>
      </c>
      <c r="AF47" s="100">
        <f t="shared" si="28"/>
        <v>0.4088415951032532</v>
      </c>
    </row>
    <row r="48" spans="1:32" ht="12.75">
      <c r="A48" s="104">
        <v>160</v>
      </c>
      <c r="B48" s="93">
        <f t="shared" si="13"/>
        <v>96.63341742868982</v>
      </c>
      <c r="C48" s="82">
        <f t="shared" si="14"/>
        <v>108.82430707797636</v>
      </c>
      <c r="D48" s="56">
        <f t="shared" si="0"/>
        <v>108.82430707797636</v>
      </c>
      <c r="E48" s="60">
        <f t="shared" si="15"/>
        <v>1.3780515184203266</v>
      </c>
      <c r="F48" s="56">
        <f t="shared" si="16"/>
        <v>0</v>
      </c>
      <c r="G48" s="75">
        <f t="shared" si="17"/>
        <v>4.151620517904263</v>
      </c>
      <c r="H48" s="83">
        <f t="shared" si="1"/>
        <v>0.8386540828987217</v>
      </c>
      <c r="I48" s="114">
        <f t="shared" si="18"/>
        <v>192.9746112186968</v>
      </c>
      <c r="J48" s="115"/>
      <c r="K48" s="82">
        <f t="shared" si="19"/>
        <v>172.6375538578762</v>
      </c>
      <c r="L48" s="56">
        <f t="shared" si="2"/>
        <v>172.6375538578762</v>
      </c>
      <c r="M48" s="60">
        <f t="shared" si="20"/>
        <v>8.438309752285146</v>
      </c>
      <c r="N48" s="56">
        <f t="shared" si="21"/>
        <v>0</v>
      </c>
      <c r="O48" s="75">
        <f t="shared" si="22"/>
        <v>4.2212488374213795</v>
      </c>
      <c r="P48" s="89">
        <f>1-EXP(-$N$10*$N$11/O48/AB48)</f>
        <v>0.8337254463821095</v>
      </c>
      <c r="Q48" s="82">
        <f t="shared" si="3"/>
        <v>417.0045368719758</v>
      </c>
      <c r="R48" s="56">
        <f t="shared" si="4"/>
        <v>684.7201108517447</v>
      </c>
      <c r="S48" s="56">
        <f t="shared" si="5"/>
        <v>692.2523171504621</v>
      </c>
      <c r="T48" s="56">
        <f t="shared" si="6"/>
        <v>2395.898190926787</v>
      </c>
      <c r="U48" s="56">
        <f t="shared" si="7"/>
        <v>2699.1111643880686</v>
      </c>
      <c r="V48" s="56">
        <f t="shared" si="8"/>
        <v>456.38670269928554</v>
      </c>
      <c r="W48" s="56">
        <f t="shared" si="9"/>
        <v>730.7710067000139</v>
      </c>
      <c r="X48" s="93">
        <f t="shared" si="10"/>
        <v>747.6317779467055</v>
      </c>
      <c r="Y48" s="95">
        <f t="shared" si="23"/>
        <v>17.959005014160752</v>
      </c>
      <c r="Z48" s="75">
        <f t="shared" si="24"/>
        <v>17.959005014160756</v>
      </c>
      <c r="AA48" s="96">
        <f t="shared" si="25"/>
        <v>20.357812995279378</v>
      </c>
      <c r="AB48" s="93">
        <f t="shared" si="26"/>
        <v>132.04099498583923</v>
      </c>
      <c r="AC48" s="98">
        <f t="shared" si="11"/>
        <v>198.03682103440417</v>
      </c>
      <c r="AD48" s="56">
        <f t="shared" si="12"/>
        <v>2.416955502515042</v>
      </c>
      <c r="AE48" s="99">
        <f t="shared" si="27"/>
        <v>412.13959267662034</v>
      </c>
      <c r="AF48" s="100">
        <f t="shared" si="28"/>
        <v>0.40896977543606333</v>
      </c>
    </row>
    <row r="49" spans="1:32" ht="12.75">
      <c r="A49" s="104">
        <v>165</v>
      </c>
      <c r="B49" s="93">
        <f t="shared" si="13"/>
        <v>99.13341742868982</v>
      </c>
      <c r="C49" s="82">
        <f t="shared" si="14"/>
        <v>111.67534436012099</v>
      </c>
      <c r="D49" s="56">
        <f t="shared" si="0"/>
        <v>111.67534436012099</v>
      </c>
      <c r="E49" s="60">
        <f t="shared" si="15"/>
        <v>1.5163307920787397</v>
      </c>
      <c r="F49" s="56">
        <f t="shared" si="16"/>
        <v>0</v>
      </c>
      <c r="G49" s="75">
        <f t="shared" si="17"/>
        <v>4.152363823679589</v>
      </c>
      <c r="H49" s="83">
        <f t="shared" si="1"/>
        <v>0.8400438037788147</v>
      </c>
      <c r="I49" s="114">
        <f t="shared" si="18"/>
        <v>192.9746112186968</v>
      </c>
      <c r="J49" s="115"/>
      <c r="K49" s="82">
        <f t="shared" si="19"/>
        <v>178.04065184568304</v>
      </c>
      <c r="L49" s="56">
        <f t="shared" si="2"/>
        <v>178.04065184568304</v>
      </c>
      <c r="M49" s="60">
        <f t="shared" si="20"/>
        <v>9.582475361773831</v>
      </c>
      <c r="N49" s="56">
        <f t="shared" si="21"/>
        <v>0</v>
      </c>
      <c r="O49" s="75">
        <f t="shared" si="22"/>
        <v>4.227683668668321</v>
      </c>
      <c r="P49" s="89">
        <f>1-EXP(-$N$10*$N$11/O49/AB49)</f>
        <v>0.8347343948620931</v>
      </c>
      <c r="Q49" s="82">
        <f t="shared" si="3"/>
        <v>427.45276301841466</v>
      </c>
      <c r="R49" s="56">
        <f t="shared" si="4"/>
        <v>706.1844449980592</v>
      </c>
      <c r="S49" s="56">
        <f t="shared" si="5"/>
        <v>714.2708290858849</v>
      </c>
      <c r="T49" s="56">
        <f t="shared" si="6"/>
        <v>2410.3438149870544</v>
      </c>
      <c r="U49" s="56">
        <f t="shared" si="7"/>
        <v>2722.9530266841293</v>
      </c>
      <c r="V49" s="56">
        <f t="shared" si="8"/>
        <v>468.45876017499734</v>
      </c>
      <c r="W49" s="56">
        <f t="shared" si="9"/>
        <v>754.5407870100468</v>
      </c>
      <c r="X49" s="93">
        <f t="shared" si="10"/>
        <v>771.3771375619486</v>
      </c>
      <c r="Y49" s="95">
        <f t="shared" si="23"/>
        <v>18.605729652677468</v>
      </c>
      <c r="Z49" s="75">
        <f t="shared" si="24"/>
        <v>18.605729652677464</v>
      </c>
      <c r="AA49" s="96">
        <f t="shared" si="25"/>
        <v>21.139997962171044</v>
      </c>
      <c r="AB49" s="93">
        <f t="shared" si="26"/>
        <v>131.39427034732253</v>
      </c>
      <c r="AC49" s="98">
        <f t="shared" si="11"/>
        <v>196.49183091627185</v>
      </c>
      <c r="AD49" s="56">
        <f t="shared" si="12"/>
        <v>2.4170504879286683</v>
      </c>
      <c r="AE49" s="99">
        <f t="shared" si="27"/>
        <v>408.8368158863069</v>
      </c>
      <c r="AF49" s="100">
        <f t="shared" si="28"/>
        <v>0.4090173218863969</v>
      </c>
    </row>
    <row r="50" spans="1:32" ht="12.75">
      <c r="A50" s="104">
        <v>170</v>
      </c>
      <c r="B50" s="93">
        <f t="shared" si="13"/>
        <v>101.63341742868982</v>
      </c>
      <c r="C50" s="82">
        <f t="shared" si="14"/>
        <v>114.51689082199276</v>
      </c>
      <c r="D50" s="56">
        <f t="shared" si="0"/>
        <v>114.51689082199276</v>
      </c>
      <c r="E50" s="60">
        <f t="shared" si="15"/>
        <v>1.6652908371448198</v>
      </c>
      <c r="F50" s="56">
        <f t="shared" si="16"/>
        <v>0</v>
      </c>
      <c r="G50" s="75">
        <f t="shared" si="17"/>
        <v>4.153130341441037</v>
      </c>
      <c r="H50" s="83">
        <f t="shared" si="1"/>
        <v>0.8414342828401978</v>
      </c>
      <c r="I50" s="114">
        <f t="shared" si="18"/>
        <v>192.9746112186968</v>
      </c>
      <c r="J50" s="115"/>
      <c r="K50" s="82">
        <f t="shared" si="19"/>
        <v>183.43830690760421</v>
      </c>
      <c r="L50" s="56">
        <f t="shared" si="2"/>
        <v>183.43830690760421</v>
      </c>
      <c r="M50" s="60">
        <f t="shared" si="20"/>
        <v>10.84426784042919</v>
      </c>
      <c r="N50" s="56">
        <f t="shared" si="21"/>
        <v>0</v>
      </c>
      <c r="O50" s="75">
        <f t="shared" si="22"/>
        <v>4.234431508693761</v>
      </c>
      <c r="P50" s="89">
        <f>1-EXP(-$N$10*$N$11/O50/AB50)</f>
        <v>0.8357273386321485</v>
      </c>
      <c r="Q50" s="82">
        <f t="shared" si="3"/>
        <v>437.9080290292713</v>
      </c>
      <c r="R50" s="56">
        <f t="shared" si="4"/>
        <v>727.7152966060079</v>
      </c>
      <c r="S50" s="56">
        <f t="shared" si="5"/>
        <v>736.3770998562327</v>
      </c>
      <c r="T50" s="56">
        <f t="shared" si="6"/>
        <v>2424.653558743468</v>
      </c>
      <c r="U50" s="56">
        <f t="shared" si="7"/>
        <v>2746.5020779685765</v>
      </c>
      <c r="V50" s="56">
        <f t="shared" si="8"/>
        <v>480.50364928564204</v>
      </c>
      <c r="W50" s="56">
        <f t="shared" si="9"/>
        <v>778.3992807794851</v>
      </c>
      <c r="X50" s="93">
        <f t="shared" si="10"/>
        <v>795.2000526000078</v>
      </c>
      <c r="Y50" s="95">
        <f t="shared" si="23"/>
        <v>19.25279966410839</v>
      </c>
      <c r="Z50" s="75">
        <f t="shared" si="24"/>
        <v>19.252799664108394</v>
      </c>
      <c r="AA50" s="96">
        <f t="shared" si="25"/>
        <v>21.922042017331552</v>
      </c>
      <c r="AB50" s="93">
        <f t="shared" si="26"/>
        <v>130.74720033589162</v>
      </c>
      <c r="AC50" s="98">
        <f t="shared" si="11"/>
        <v>194.90181750321307</v>
      </c>
      <c r="AD50" s="56">
        <f t="shared" si="12"/>
        <v>2.4168993394723666</v>
      </c>
      <c r="AE50" s="99">
        <f t="shared" si="27"/>
        <v>405.52087527075474</v>
      </c>
      <c r="AF50" s="100">
        <f t="shared" si="28"/>
        <v>0.4089837810817844</v>
      </c>
    </row>
    <row r="51" spans="1:32" ht="12.75">
      <c r="A51" s="104">
        <v>175</v>
      </c>
      <c r="B51" s="93">
        <f t="shared" si="13"/>
        <v>104.13341742868982</v>
      </c>
      <c r="C51" s="82">
        <f t="shared" si="14"/>
        <v>117.3488701491752</v>
      </c>
      <c r="D51" s="56">
        <f t="shared" si="0"/>
        <v>117.3488701491752</v>
      </c>
      <c r="E51" s="60">
        <f t="shared" si="15"/>
        <v>1.8254783696458279</v>
      </c>
      <c r="F51" s="56">
        <f t="shared" si="16"/>
        <v>0</v>
      </c>
      <c r="G51" s="75">
        <f t="shared" si="17"/>
        <v>4.153920225478881</v>
      </c>
      <c r="H51" s="83">
        <f t="shared" si="1"/>
        <v>0.8428266790328885</v>
      </c>
      <c r="I51" s="114">
        <f t="shared" si="18"/>
        <v>192.9746112186968</v>
      </c>
      <c r="J51" s="115"/>
      <c r="K51" s="82">
        <f t="shared" si="19"/>
        <v>188.8306487860147</v>
      </c>
      <c r="L51" s="56">
        <f t="shared" si="2"/>
        <v>188.8306487860147</v>
      </c>
      <c r="M51" s="60">
        <f t="shared" si="20"/>
        <v>12.23172929559411</v>
      </c>
      <c r="N51" s="56">
        <f t="shared" si="21"/>
        <v>0</v>
      </c>
      <c r="O51" s="75">
        <f t="shared" si="22"/>
        <v>4.241505909119661</v>
      </c>
      <c r="P51" s="89">
        <f>1-EXP(-$N$10*$N$11/O51/AB51)</f>
        <v>0.8367048300827533</v>
      </c>
      <c r="Q51" s="82">
        <f t="shared" si="3"/>
        <v>448.37060124102493</v>
      </c>
      <c r="R51" s="56">
        <f t="shared" si="4"/>
        <v>749.3170379859208</v>
      </c>
      <c r="S51" s="56">
        <f t="shared" si="5"/>
        <v>758.5762638170904</v>
      </c>
      <c r="T51" s="56">
        <f t="shared" si="6"/>
        <v>2438.8285614693195</v>
      </c>
      <c r="U51" s="56">
        <f t="shared" si="7"/>
        <v>2769.7630115332354</v>
      </c>
      <c r="V51" s="56">
        <f t="shared" si="8"/>
        <v>492.52147844905113</v>
      </c>
      <c r="W51" s="56">
        <f t="shared" si="9"/>
        <v>802.354550280348</v>
      </c>
      <c r="X51" s="93">
        <f t="shared" si="10"/>
        <v>819.1075644762036</v>
      </c>
      <c r="Y51" s="95">
        <f t="shared" si="23"/>
        <v>19.900750782683964</v>
      </c>
      <c r="Z51" s="75">
        <f t="shared" si="24"/>
        <v>19.900750782683964</v>
      </c>
      <c r="AA51" s="96">
        <f t="shared" si="25"/>
        <v>22.704085198270157</v>
      </c>
      <c r="AB51" s="93">
        <f t="shared" si="26"/>
        <v>130.09924921731604</v>
      </c>
      <c r="AC51" s="98">
        <f t="shared" si="11"/>
        <v>193.26704035940963</v>
      </c>
      <c r="AD51" s="56">
        <f t="shared" si="12"/>
        <v>2.416460442263957</v>
      </c>
      <c r="AE51" s="99">
        <f t="shared" si="27"/>
        <v>402.1910006766261</v>
      </c>
      <c r="AF51" s="100">
        <f t="shared" si="28"/>
        <v>0.40886857228268486</v>
      </c>
    </row>
    <row r="52" spans="1:32" ht="12.75">
      <c r="A52" s="104">
        <v>180</v>
      </c>
      <c r="B52" s="93">
        <f t="shared" si="13"/>
        <v>106.63341742868982</v>
      </c>
      <c r="C52" s="82">
        <f t="shared" si="14"/>
        <v>120.17121616194117</v>
      </c>
      <c r="D52" s="56">
        <f t="shared" si="0"/>
        <v>120.17121616194117</v>
      </c>
      <c r="E52" s="60">
        <f t="shared" si="15"/>
        <v>1.9974500440032272</v>
      </c>
      <c r="F52" s="56">
        <f t="shared" si="16"/>
        <v>0</v>
      </c>
      <c r="G52" s="75">
        <f t="shared" si="17"/>
        <v>4.154733620433218</v>
      </c>
      <c r="H52" s="83">
        <f t="shared" si="1"/>
        <v>0.8442219076871701</v>
      </c>
      <c r="I52" s="114">
        <f t="shared" si="18"/>
        <v>192.9746112186968</v>
      </c>
      <c r="J52" s="115"/>
      <c r="K52" s="82">
        <f t="shared" si="19"/>
        <v>194.21782990817186</v>
      </c>
      <c r="L52" s="56">
        <f t="shared" si="2"/>
        <v>195.75419528432712</v>
      </c>
      <c r="M52" s="60">
        <f t="shared" si="20"/>
        <v>13.753151172420964</v>
      </c>
      <c r="N52" s="56">
        <f t="shared" si="21"/>
        <v>1.5363653761552598</v>
      </c>
      <c r="O52" s="75">
        <f t="shared" si="22"/>
        <v>4.2489215758213295</v>
      </c>
      <c r="P52" s="89">
        <f>1-EXP(-$N$10*$N$11/O52/AB52)</f>
        <v>0.83766712014535</v>
      </c>
      <c r="Q52" s="82">
        <f t="shared" si="3"/>
        <v>458.8407497957607</v>
      </c>
      <c r="R52" s="56">
        <f t="shared" si="4"/>
        <v>770.9943597197033</v>
      </c>
      <c r="S52" s="56">
        <f t="shared" si="5"/>
        <v>780.8738329572678</v>
      </c>
      <c r="T52" s="56">
        <f t="shared" si="6"/>
        <v>2452.869997800287</v>
      </c>
      <c r="U52" s="56">
        <f t="shared" si="7"/>
        <v>2792.7542707003067</v>
      </c>
      <c r="V52" s="56">
        <f t="shared" si="8"/>
        <v>504.51239800594635</v>
      </c>
      <c r="W52" s="56">
        <f t="shared" si="9"/>
        <v>826.4152662532254</v>
      </c>
      <c r="X52" s="93">
        <f t="shared" si="10"/>
        <v>843.1072749320304</v>
      </c>
      <c r="Y52" s="95">
        <f t="shared" si="23"/>
        <v>20.55000801550408</v>
      </c>
      <c r="Z52" s="75">
        <f t="shared" si="24"/>
        <v>20.550008015504076</v>
      </c>
      <c r="AA52" s="96">
        <f t="shared" si="25"/>
        <v>23.486265623379083</v>
      </c>
      <c r="AB52" s="93">
        <f t="shared" si="26"/>
        <v>129.4499919844959</v>
      </c>
      <c r="AC52" s="98">
        <f t="shared" si="11"/>
        <v>191.58749466383935</v>
      </c>
      <c r="AD52" s="56">
        <f t="shared" si="12"/>
        <v>2.4156883178868753</v>
      </c>
      <c r="AE52" s="99">
        <f t="shared" si="27"/>
        <v>398.8463653055995</v>
      </c>
      <c r="AF52" s="100">
        <f t="shared" si="28"/>
        <v>0.4086705729324366</v>
      </c>
    </row>
    <row r="53" spans="1:32" ht="12.75">
      <c r="A53" s="104">
        <v>185</v>
      </c>
      <c r="B53" s="93">
        <f t="shared" si="13"/>
        <v>109.13341742868982</v>
      </c>
      <c r="C53" s="82">
        <f t="shared" si="14"/>
        <v>122.98418943215636</v>
      </c>
      <c r="D53" s="56">
        <f t="shared" si="0"/>
        <v>122.98418943215636</v>
      </c>
      <c r="E53" s="60">
        <f t="shared" si="15"/>
        <v>2.181793413893402</v>
      </c>
      <c r="F53" s="56">
        <f t="shared" si="16"/>
        <v>0</v>
      </c>
      <c r="G53" s="75">
        <f t="shared" si="17"/>
        <v>4.15557066225802</v>
      </c>
      <c r="H53" s="83">
        <f t="shared" si="1"/>
        <v>0.8456176949363534</v>
      </c>
      <c r="I53" s="114">
        <f t="shared" si="18"/>
        <v>192.9746112186968</v>
      </c>
      <c r="J53" s="115"/>
      <c r="K53" s="82">
        <f t="shared" si="19"/>
        <v>199.6003549207212</v>
      </c>
      <c r="L53" s="56">
        <f t="shared" si="2"/>
        <v>207.92127722025714</v>
      </c>
      <c r="M53" s="60">
        <f t="shared" si="20"/>
        <v>15.417179463247068</v>
      </c>
      <c r="N53" s="56">
        <f t="shared" si="21"/>
        <v>8.320922299535937</v>
      </c>
      <c r="O53" s="75">
        <f t="shared" si="22"/>
        <v>4.256694405515325</v>
      </c>
      <c r="P53" s="89">
        <f>1-EXP(-$N$10*$N$11/O53/AB53)</f>
        <v>0.8386111509300596</v>
      </c>
      <c r="Q53" s="82">
        <f t="shared" si="3"/>
        <v>469.3187490247823</v>
      </c>
      <c r="R53" s="56">
        <f t="shared" si="4"/>
        <v>792.7522998121907</v>
      </c>
      <c r="S53" s="56">
        <f t="shared" si="5"/>
        <v>803.2752815858274</v>
      </c>
      <c r="T53" s="56">
        <f t="shared" si="6"/>
        <v>2466.780637584484</v>
      </c>
      <c r="U53" s="56">
        <f t="shared" si="7"/>
        <v>2815.64993258124</v>
      </c>
      <c r="V53" s="56">
        <f t="shared" si="8"/>
        <v>516.4779486750259</v>
      </c>
      <c r="W53" s="56">
        <f t="shared" si="9"/>
        <v>850.5922390488752</v>
      </c>
      <c r="X53" s="93">
        <f t="shared" si="10"/>
        <v>867.2088662211993</v>
      </c>
      <c r="Y53" s="95">
        <f t="shared" si="23"/>
        <v>21.199571000557523</v>
      </c>
      <c r="Z53" s="75">
        <f t="shared" si="24"/>
        <v>21.19957100055752</v>
      </c>
      <c r="AA53" s="96">
        <f t="shared" si="25"/>
        <v>24.26871699024242</v>
      </c>
      <c r="AB53" s="93">
        <f t="shared" si="26"/>
        <v>128.8004289994425</v>
      </c>
      <c r="AC53" s="98">
        <f t="shared" si="11"/>
        <v>189.8609397669931</v>
      </c>
      <c r="AD53" s="56">
        <f t="shared" si="12"/>
        <v>2.4145324016191982</v>
      </c>
      <c r="AE53" s="99">
        <f t="shared" si="27"/>
        <v>395.4861480113155</v>
      </c>
      <c r="AF53" s="100">
        <f t="shared" si="28"/>
        <v>0.4083837368440363</v>
      </c>
    </row>
    <row r="54" spans="1:32" ht="12.75">
      <c r="A54" s="104">
        <v>190</v>
      </c>
      <c r="B54" s="93">
        <f t="shared" si="13"/>
        <v>111.63341742868982</v>
      </c>
      <c r="C54" s="82">
        <f t="shared" si="14"/>
        <v>125.78791137263138</v>
      </c>
      <c r="D54" s="56">
        <f t="shared" si="0"/>
        <v>125.78791137263138</v>
      </c>
      <c r="E54" s="60">
        <f t="shared" si="15"/>
        <v>2.379100303884833</v>
      </c>
      <c r="F54" s="56">
        <f t="shared" si="16"/>
        <v>0</v>
      </c>
      <c r="G54" s="75">
        <f t="shared" si="17"/>
        <v>4.156431479193165</v>
      </c>
      <c r="H54" s="83">
        <f t="shared" si="1"/>
        <v>0.8470133025137441</v>
      </c>
      <c r="I54" s="114">
        <f t="shared" si="18"/>
        <v>192.9746112186968</v>
      </c>
      <c r="J54" s="115"/>
      <c r="K54" s="82">
        <f t="shared" si="19"/>
        <v>204.97860141311224</v>
      </c>
      <c r="L54" s="56">
        <f t="shared" si="2"/>
        <v>220.22872405313132</v>
      </c>
      <c r="M54" s="60">
        <f t="shared" si="20"/>
        <v>17.232694002587213</v>
      </c>
      <c r="N54" s="56">
        <f t="shared" si="21"/>
        <v>15.250122640019072</v>
      </c>
      <c r="O54" s="75">
        <f t="shared" si="22"/>
        <v>4.264841526526447</v>
      </c>
      <c r="P54" s="89">
        <f>1-EXP(-$N$10*$N$11/O54/AB54)</f>
        <v>0.8395353592574</v>
      </c>
      <c r="Q54" s="82">
        <f t="shared" si="3"/>
        <v>479.80487785562457</v>
      </c>
      <c r="R54" s="56">
        <f t="shared" si="4"/>
        <v>814.5962758273982</v>
      </c>
      <c r="S54" s="56">
        <f t="shared" si="5"/>
        <v>825.786779924278</v>
      </c>
      <c r="T54" s="56">
        <f t="shared" si="6"/>
        <v>2480.5625147721794</v>
      </c>
      <c r="U54" s="56">
        <f t="shared" si="7"/>
        <v>2838.5357707167</v>
      </c>
      <c r="V54" s="56">
        <f t="shared" si="8"/>
        <v>528.4190853595672</v>
      </c>
      <c r="W54" s="56">
        <f t="shared" si="9"/>
        <v>874.8963446140577</v>
      </c>
      <c r="X54" s="93">
        <f t="shared" si="10"/>
        <v>891.4220237678146</v>
      </c>
      <c r="Y54" s="95">
        <f t="shared" si="23"/>
        <v>21.849128183350597</v>
      </c>
      <c r="Z54" s="75">
        <f t="shared" si="24"/>
        <v>21.849128183350597</v>
      </c>
      <c r="AA54" s="96">
        <f t="shared" si="25"/>
        <v>25.05157284564576</v>
      </c>
      <c r="AB54" s="93">
        <f t="shared" si="26"/>
        <v>128.1508718166494</v>
      </c>
      <c r="AC54" s="98">
        <f t="shared" si="11"/>
        <v>188.08611295329396</v>
      </c>
      <c r="AD54" s="56">
        <f t="shared" si="12"/>
        <v>2.412938437486174</v>
      </c>
      <c r="AE54" s="99">
        <f t="shared" si="27"/>
        <v>392.10942326054794</v>
      </c>
      <c r="AF54" s="100">
        <f t="shared" si="28"/>
        <v>0.4080040534918143</v>
      </c>
    </row>
    <row r="55" spans="1:32" ht="12.75">
      <c r="A55" s="104">
        <v>195</v>
      </c>
      <c r="B55" s="93">
        <f t="shared" si="13"/>
        <v>114.13341742868982</v>
      </c>
      <c r="C55" s="82">
        <f t="shared" si="14"/>
        <v>128.58233758407238</v>
      </c>
      <c r="D55" s="56">
        <f aca="true" t="shared" si="29" ref="D55:D76">IF(C55&gt;I55,T_ps(E55,$J$10),C55)</f>
        <v>128.58233758407238</v>
      </c>
      <c r="E55" s="60">
        <f t="shared" si="15"/>
        <v>2.589961112242793</v>
      </c>
      <c r="F55" s="56">
        <f t="shared" si="16"/>
        <v>0</v>
      </c>
      <c r="G55" s="75">
        <f t="shared" si="17"/>
        <v>4.157316192736474</v>
      </c>
      <c r="H55" s="83">
        <f aca="true" t="shared" si="30" ref="H55:H76">1-EXP(-$N$10*$N$11/G55/AB55)</f>
        <v>0.8484095478485454</v>
      </c>
      <c r="I55" s="114">
        <f t="shared" si="18"/>
        <v>192.9746112186968</v>
      </c>
      <c r="J55" s="115"/>
      <c r="K55" s="82">
        <f aca="true" t="shared" si="31" ref="K55:K76">(A55-B55)/P55+B55</f>
        <v>210.3527914321839</v>
      </c>
      <c r="L55" s="56">
        <f aca="true" t="shared" si="32" ref="L55:L76">IF(K55&gt;I55,T_ps(M55,$J$11),K55)</f>
        <v>232.61908268446035</v>
      </c>
      <c r="M55" s="60">
        <f t="shared" si="20"/>
        <v>19.208781409468337</v>
      </c>
      <c r="N55" s="56">
        <f t="shared" si="21"/>
        <v>22.26629125227646</v>
      </c>
      <c r="O55" s="75">
        <f t="shared" si="22"/>
        <v>4.273381345037257</v>
      </c>
      <c r="P55" s="89">
        <f aca="true" t="shared" si="33" ref="P55:P76">1-EXP(-$N$10*$N$11/O55/AB55)</f>
        <v>0.8404397077907991</v>
      </c>
      <c r="Q55" s="82">
        <f aca="true" t="shared" si="34" ref="Q55:Q76">h_pt($G$5,B55)</f>
        <v>490.2994202397721</v>
      </c>
      <c r="R55" s="56">
        <f aca="true" t="shared" si="35" ref="R55:R76">h_pt($G$6,A55)</f>
        <v>836.5321206002611</v>
      </c>
      <c r="S55" s="56">
        <f aca="true" t="shared" si="36" ref="S55:S76">(X55*Y55+R55*AB55)/$K$7</f>
        <v>848.4152589476557</v>
      </c>
      <c r="T55" s="56">
        <f aca="true" t="shared" si="37" ref="T55:T76">h_ps(E55,$J$10)</f>
        <v>2494.216819211457</v>
      </c>
      <c r="U55" s="56">
        <f aca="true" t="shared" si="38" ref="U55:U76">h_ps(M55,$J$11)</f>
        <v>2861.419892279812</v>
      </c>
      <c r="V55" s="56">
        <f aca="true" t="shared" si="39" ref="V55:V76">hL_p(E55)</f>
        <v>540.3360606416192</v>
      </c>
      <c r="W55" s="56">
        <f aca="true" t="shared" si="40" ref="W55:W76">hL_p(M55)</f>
        <v>899.3384377133797</v>
      </c>
      <c r="X55" s="93">
        <f aca="true" t="shared" si="41" ref="X55:X76">h_ps($G$14,sL_p(M55))</f>
        <v>915.7563429908281</v>
      </c>
      <c r="Y55" s="95">
        <f aca="true" t="shared" si="42" ref="Y55:Y76">(R55-Q55)*$K$7/(U55-W55+R55-Q55)</f>
        <v>22.499062765448215</v>
      </c>
      <c r="Z55" s="75">
        <f t="shared" si="24"/>
        <v>22.49906276544822</v>
      </c>
      <c r="AA55" s="96">
        <f t="shared" si="25"/>
        <v>25.83496687978498</v>
      </c>
      <c r="AB55" s="93">
        <f t="shared" si="26"/>
        <v>127.50093723455178</v>
      </c>
      <c r="AC55" s="98">
        <f aca="true" t="shared" si="43" ref="AC55:AC76">(($I$8-U55)*$K$7+(U55-T55)*AB55+(T55-$I$9)*(AB55-AA55))*10^-3</f>
        <v>186.2626977611902</v>
      </c>
      <c r="AD55" s="56">
        <f aca="true" t="shared" si="44" ref="AD55:AD76">(($I$4-$I$3)*AB55+(X55-W55)*Y55)*10^-3</f>
        <v>2.4108479152350752</v>
      </c>
      <c r="AE55" s="99">
        <f aca="true" t="shared" si="45" ref="AE55:AE76">($I$8-S55)*$K$7*10^-3</f>
        <v>388.7151514070413</v>
      </c>
      <c r="AF55" s="100">
        <f t="shared" si="28"/>
        <v>0.40752957303500387</v>
      </c>
    </row>
    <row r="56" spans="1:32" ht="12.75">
      <c r="A56" s="104">
        <v>200</v>
      </c>
      <c r="B56" s="93">
        <f t="shared" si="13"/>
        <v>116.63341742868982</v>
      </c>
      <c r="C56" s="82">
        <f t="shared" si="14"/>
        <v>131.36736908987226</v>
      </c>
      <c r="D56" s="56">
        <f t="shared" si="29"/>
        <v>131.36736908987226</v>
      </c>
      <c r="E56" s="60">
        <f t="shared" si="15"/>
        <v>2.814969251616828</v>
      </c>
      <c r="F56" s="56">
        <f t="shared" si="16"/>
        <v>0</v>
      </c>
      <c r="G56" s="75">
        <f t="shared" si="17"/>
        <v>4.158224918608764</v>
      </c>
      <c r="H56" s="83">
        <f t="shared" si="30"/>
        <v>0.8498076307488416</v>
      </c>
      <c r="I56" s="114">
        <f t="shared" si="18"/>
        <v>192.9746112186968</v>
      </c>
      <c r="J56" s="115"/>
      <c r="K56" s="82">
        <f t="shared" si="31"/>
        <v>215.72310656457574</v>
      </c>
      <c r="L56" s="56">
        <f t="shared" si="32"/>
        <v>245.05855262607565</v>
      </c>
      <c r="M56" s="60">
        <f t="shared" si="20"/>
        <v>21.354760033125867</v>
      </c>
      <c r="N56" s="56">
        <f t="shared" si="21"/>
        <v>29.33544606149991</v>
      </c>
      <c r="O56" s="75">
        <f t="shared" si="22"/>
        <v>4.2823335981113555</v>
      </c>
      <c r="P56" s="89">
        <f t="shared" si="33"/>
        <v>0.8413244939842935</v>
      </c>
      <c r="Q56" s="82">
        <f t="shared" si="34"/>
        <v>500.8026655987431</v>
      </c>
      <c r="R56" s="56">
        <f t="shared" si="35"/>
        <v>858.5661222270343</v>
      </c>
      <c r="S56" s="56">
        <f t="shared" si="36"/>
        <v>871.168289663328</v>
      </c>
      <c r="T56" s="56">
        <f t="shared" si="37"/>
        <v>2507.744460159992</v>
      </c>
      <c r="U56" s="56">
        <f t="shared" si="38"/>
        <v>2884.2954944238013</v>
      </c>
      <c r="V56" s="56">
        <f t="shared" si="39"/>
        <v>552.2288961364225</v>
      </c>
      <c r="W56" s="56">
        <f t="shared" si="40"/>
        <v>923.9299243376362</v>
      </c>
      <c r="X56" s="93">
        <f t="shared" si="41"/>
        <v>940.2218911222355</v>
      </c>
      <c r="Y56" s="95">
        <f t="shared" si="42"/>
        <v>23.149927323201585</v>
      </c>
      <c r="Z56" s="75">
        <f t="shared" si="24"/>
        <v>23.14992732320158</v>
      </c>
      <c r="AA56" s="96">
        <f t="shared" si="25"/>
        <v>26.619032057941304</v>
      </c>
      <c r="AB56" s="93">
        <f t="shared" si="26"/>
        <v>126.85007267679842</v>
      </c>
      <c r="AC56" s="98">
        <f t="shared" si="43"/>
        <v>184.39051011133375</v>
      </c>
      <c r="AD56" s="56">
        <f t="shared" si="44"/>
        <v>2.408197069364499</v>
      </c>
      <c r="AE56" s="99">
        <f t="shared" si="45"/>
        <v>385.3021967996905</v>
      </c>
      <c r="AF56" s="100">
        <f t="shared" si="28"/>
        <v>0.40695865577301427</v>
      </c>
    </row>
    <row r="57" spans="1:32" ht="12.75">
      <c r="A57" s="104">
        <v>205</v>
      </c>
      <c r="B57" s="93">
        <f t="shared" si="13"/>
        <v>119.13341742868982</v>
      </c>
      <c r="C57" s="82">
        <f t="shared" si="14"/>
        <v>134.1428759400585</v>
      </c>
      <c r="D57" s="56">
        <f t="shared" si="29"/>
        <v>134.1428759400585</v>
      </c>
      <c r="E57" s="60">
        <f t="shared" si="15"/>
        <v>3.0547209478370796</v>
      </c>
      <c r="F57" s="56">
        <f t="shared" si="16"/>
        <v>0</v>
      </c>
      <c r="G57" s="75">
        <f t="shared" si="17"/>
        <v>4.1591577677063425</v>
      </c>
      <c r="H57" s="83">
        <f t="shared" si="30"/>
        <v>0.851208886170832</v>
      </c>
      <c r="I57" s="114">
        <f t="shared" si="18"/>
        <v>192.9746112186968</v>
      </c>
      <c r="J57" s="115"/>
      <c r="K57" s="82">
        <f t="shared" si="31"/>
        <v>221.08971288877885</v>
      </c>
      <c r="L57" s="56">
        <f t="shared" si="32"/>
        <v>257.52731387936296</v>
      </c>
      <c r="M57" s="60">
        <f t="shared" si="20"/>
        <v>23.68018522616631</v>
      </c>
      <c r="N57" s="56">
        <f t="shared" si="21"/>
        <v>36.437600990584116</v>
      </c>
      <c r="O57" s="75">
        <f t="shared" si="22"/>
        <v>4.291719414797658</v>
      </c>
      <c r="P57" s="89">
        <f t="shared" si="33"/>
        <v>0.842190099040258</v>
      </c>
      <c r="Q57" s="82">
        <f t="shared" si="34"/>
        <v>511.3149092865157</v>
      </c>
      <c r="R57" s="56">
        <f t="shared" si="35"/>
        <v>880.705069177339</v>
      </c>
      <c r="S57" s="56">
        <f t="shared" si="36"/>
        <v>894.0541017000263</v>
      </c>
      <c r="T57" s="56">
        <f t="shared" si="37"/>
        <v>2521.146188093191</v>
      </c>
      <c r="U57" s="56">
        <f t="shared" si="38"/>
        <v>2907.1538083286096</v>
      </c>
      <c r="V57" s="56">
        <f t="shared" si="39"/>
        <v>564.0974823462797</v>
      </c>
      <c r="W57" s="56">
        <f t="shared" si="40"/>
        <v>948.6829459380825</v>
      </c>
      <c r="X57" s="93">
        <f t="shared" si="41"/>
        <v>964.8293796460158</v>
      </c>
      <c r="Y57" s="95">
        <f t="shared" si="42"/>
        <v>23.802333323714503</v>
      </c>
      <c r="Z57" s="75">
        <f t="shared" si="24"/>
        <v>23.802333323714507</v>
      </c>
      <c r="AA57" s="96">
        <f t="shared" si="25"/>
        <v>27.403900518277684</v>
      </c>
      <c r="AB57" s="93">
        <f t="shared" si="26"/>
        <v>126.1976666762855</v>
      </c>
      <c r="AC57" s="98">
        <f t="shared" si="43"/>
        <v>182.46932030066847</v>
      </c>
      <c r="AD57" s="56">
        <f t="shared" si="44"/>
        <v>2.404916127323921</v>
      </c>
      <c r="AE57" s="99">
        <f t="shared" si="45"/>
        <v>381.8693249941857</v>
      </c>
      <c r="AF57" s="100">
        <f t="shared" si="28"/>
        <v>0.40628958473175386</v>
      </c>
    </row>
    <row r="58" spans="1:32" ht="12.75">
      <c r="A58" s="104">
        <v>210</v>
      </c>
      <c r="B58" s="93">
        <f t="shared" si="13"/>
        <v>121.63341742868982</v>
      </c>
      <c r="C58" s="82">
        <f t="shared" si="14"/>
        <v>136.90870724506513</v>
      </c>
      <c r="D58" s="56">
        <f t="shared" si="29"/>
        <v>136.90870724506513</v>
      </c>
      <c r="E58" s="60">
        <f t="shared" si="15"/>
        <v>3.3098143678462884</v>
      </c>
      <c r="F58" s="56">
        <f t="shared" si="16"/>
        <v>0</v>
      </c>
      <c r="G58" s="75">
        <f t="shared" si="17"/>
        <v>4.160114847036128</v>
      </c>
      <c r="H58" s="83">
        <f t="shared" si="30"/>
        <v>0.8526146868590316</v>
      </c>
      <c r="I58" s="114">
        <f t="shared" si="18"/>
        <v>192.9746112186968</v>
      </c>
      <c r="J58" s="115"/>
      <c r="K58" s="82">
        <f t="shared" si="31"/>
        <v>226.45277205786022</v>
      </c>
      <c r="L58" s="56">
        <f t="shared" si="32"/>
        <v>270.0135879445477</v>
      </c>
      <c r="M58" s="60">
        <f t="shared" si="20"/>
        <v>26.194853557390587</v>
      </c>
      <c r="N58" s="56">
        <f t="shared" si="21"/>
        <v>43.560815886687465</v>
      </c>
      <c r="O58" s="75">
        <f t="shared" si="22"/>
        <v>4.301561386669167</v>
      </c>
      <c r="P58" s="89">
        <f t="shared" si="33"/>
        <v>0.8430368884060888</v>
      </c>
      <c r="Q58" s="82">
        <f t="shared" si="34"/>
        <v>521.8364530666336</v>
      </c>
      <c r="R58" s="56">
        <f t="shared" si="35"/>
        <v>902.956301547173</v>
      </c>
      <c r="S58" s="56">
        <f t="shared" si="36"/>
        <v>917.0816308341364</v>
      </c>
      <c r="T58" s="56">
        <f t="shared" si="37"/>
        <v>2534.422647305877</v>
      </c>
      <c r="U58" s="56">
        <f t="shared" si="38"/>
        <v>2929.9888330189383</v>
      </c>
      <c r="V58" s="56">
        <f t="shared" si="39"/>
        <v>575.9416210382747</v>
      </c>
      <c r="W58" s="56">
        <f t="shared" si="40"/>
        <v>973.6105156108761</v>
      </c>
      <c r="X58" s="93">
        <f t="shared" si="41"/>
        <v>989.590286716107</v>
      </c>
      <c r="Y58" s="95">
        <f t="shared" si="42"/>
        <v>24.456907862577278</v>
      </c>
      <c r="Z58" s="75">
        <f t="shared" si="24"/>
        <v>24.45690786257728</v>
      </c>
      <c r="AA58" s="96">
        <f t="shared" si="25"/>
        <v>28.18970358571475</v>
      </c>
      <c r="AB58" s="93">
        <f t="shared" si="26"/>
        <v>125.54309213742272</v>
      </c>
      <c r="AC58" s="98">
        <f t="shared" si="43"/>
        <v>180.4987777043039</v>
      </c>
      <c r="AD58" s="56">
        <f t="shared" si="44"/>
        <v>2.400928506475928</v>
      </c>
      <c r="AE58" s="99">
        <f t="shared" si="45"/>
        <v>378.4151956240692</v>
      </c>
      <c r="AF58" s="100">
        <f t="shared" si="28"/>
        <v>0.40552039539837753</v>
      </c>
    </row>
    <row r="59" spans="1:32" ht="12.75">
      <c r="A59" s="104">
        <v>215</v>
      </c>
      <c r="B59" s="93">
        <f t="shared" si="13"/>
        <v>124.13341742868982</v>
      </c>
      <c r="C59" s="82">
        <f t="shared" si="14"/>
        <v>139.6646918138337</v>
      </c>
      <c r="D59" s="56">
        <f t="shared" si="29"/>
        <v>139.6646918138337</v>
      </c>
      <c r="E59" s="60">
        <f t="shared" si="15"/>
        <v>3.5808480328026926</v>
      </c>
      <c r="F59" s="56">
        <f t="shared" si="16"/>
        <v>0</v>
      </c>
      <c r="G59" s="75">
        <f t="shared" si="17"/>
        <v>4.161096260629543</v>
      </c>
      <c r="H59" s="83">
        <f t="shared" si="30"/>
        <v>0.8540264359694721</v>
      </c>
      <c r="I59" s="114">
        <f t="shared" si="18"/>
        <v>192.9746112186968</v>
      </c>
      <c r="J59" s="115"/>
      <c r="K59" s="82">
        <f t="shared" si="31"/>
        <v>231.81244267013622</v>
      </c>
      <c r="L59" s="56">
        <f t="shared" si="32"/>
        <v>282.51004796843256</v>
      </c>
      <c r="M59" s="60">
        <f t="shared" si="20"/>
        <v>28.90880557952411</v>
      </c>
      <c r="N59" s="56">
        <f t="shared" si="21"/>
        <v>50.69760529829634</v>
      </c>
      <c r="O59" s="75">
        <f t="shared" si="22"/>
        <v>4.311883649227731</v>
      </c>
      <c r="P59" s="89">
        <f t="shared" si="33"/>
        <v>0.8438652037159694</v>
      </c>
      <c r="Q59" s="82">
        <f t="shared" si="34"/>
        <v>532.3676056026073</v>
      </c>
      <c r="R59" s="56">
        <f t="shared" si="35"/>
        <v>925.3277696977933</v>
      </c>
      <c r="S59" s="56">
        <f t="shared" si="36"/>
        <v>940.2605895760628</v>
      </c>
      <c r="T59" s="56">
        <f t="shared" si="37"/>
        <v>2547.5743819753534</v>
      </c>
      <c r="U59" s="56">
        <f t="shared" si="38"/>
        <v>2952.797700872507</v>
      </c>
      <c r="V59" s="56">
        <f t="shared" si="39"/>
        <v>587.7610275483142</v>
      </c>
      <c r="W59" s="56">
        <f t="shared" si="40"/>
        <v>998.7266262274152</v>
      </c>
      <c r="X59" s="93">
        <f t="shared" si="41"/>
        <v>1014.5169495157533</v>
      </c>
      <c r="Y59" s="95">
        <f t="shared" si="42"/>
        <v>25.11429061588244</v>
      </c>
      <c r="Z59" s="75">
        <f t="shared" si="24"/>
        <v>25.114290615882442</v>
      </c>
      <c r="AA59" s="96">
        <f t="shared" si="25"/>
        <v>28.976571856113637</v>
      </c>
      <c r="AB59" s="93">
        <f t="shared" si="26"/>
        <v>124.88570938411756</v>
      </c>
      <c r="AC59" s="98">
        <f t="shared" si="43"/>
        <v>178.47839439526325</v>
      </c>
      <c r="AD59" s="56">
        <f t="shared" si="44"/>
        <v>2.3961499082771396</v>
      </c>
      <c r="AE59" s="99">
        <f t="shared" si="45"/>
        <v>374.93835181278024</v>
      </c>
      <c r="AF59" s="100">
        <f t="shared" si="28"/>
        <v>0.4046488346798598</v>
      </c>
    </row>
    <row r="60" spans="1:32" ht="12.75">
      <c r="A60" s="104">
        <v>220</v>
      </c>
      <c r="B60" s="93">
        <f t="shared" si="13"/>
        <v>126.63341742868982</v>
      </c>
      <c r="C60" s="82">
        <f t="shared" si="14"/>
        <v>142.41063449347348</v>
      </c>
      <c r="D60" s="56">
        <f t="shared" si="29"/>
        <v>142.41063449347348</v>
      </c>
      <c r="E60" s="60">
        <f t="shared" si="15"/>
        <v>3.868418693288139</v>
      </c>
      <c r="F60" s="56">
        <f t="shared" si="16"/>
        <v>0</v>
      </c>
      <c r="G60" s="75">
        <f t="shared" si="17"/>
        <v>4.162102110432126</v>
      </c>
      <c r="H60" s="83">
        <f t="shared" si="30"/>
        <v>0.8554455945515193</v>
      </c>
      <c r="I60" s="114">
        <f t="shared" si="18"/>
        <v>192.9746112186968</v>
      </c>
      <c r="J60" s="115"/>
      <c r="K60" s="82">
        <f t="shared" si="31"/>
        <v>237.16887713101676</v>
      </c>
      <c r="L60" s="56">
        <f t="shared" si="32"/>
        <v>295.01170099757826</v>
      </c>
      <c r="M60" s="60">
        <f t="shared" si="20"/>
        <v>31.832328033062506</v>
      </c>
      <c r="N60" s="56">
        <f t="shared" si="21"/>
        <v>57.8428238665615</v>
      </c>
      <c r="O60" s="75">
        <f t="shared" si="22"/>
        <v>4.322711975719595</v>
      </c>
      <c r="P60" s="89">
        <f t="shared" si="33"/>
        <v>0.8446753903475618</v>
      </c>
      <c r="Q60" s="82">
        <f t="shared" si="34"/>
        <v>542.9086829605477</v>
      </c>
      <c r="R60" s="56">
        <f t="shared" si="35"/>
        <v>947.8281018178769</v>
      </c>
      <c r="S60" s="56">
        <f t="shared" si="36"/>
        <v>963.601555046653</v>
      </c>
      <c r="T60" s="56">
        <f t="shared" si="37"/>
        <v>2560.6018216805733</v>
      </c>
      <c r="U60" s="56">
        <f t="shared" si="38"/>
        <v>2975.5796265517083</v>
      </c>
      <c r="V60" s="56">
        <f t="shared" si="39"/>
        <v>599.5553145262934</v>
      </c>
      <c r="W60" s="56">
        <f t="shared" si="40"/>
        <v>1024.0463568689859</v>
      </c>
      <c r="X60" s="93">
        <f t="shared" si="41"/>
        <v>1039.62265287547</v>
      </c>
      <c r="Y60" s="95">
        <f t="shared" si="42"/>
        <v>25.775146313771213</v>
      </c>
      <c r="Z60" s="75">
        <f t="shared" si="24"/>
        <v>25.775146313771216</v>
      </c>
      <c r="AA60" s="96">
        <f t="shared" si="25"/>
        <v>29.764635300525878</v>
      </c>
      <c r="AB60" s="93">
        <f t="shared" si="26"/>
        <v>124.22485368622878</v>
      </c>
      <c r="AC60" s="98">
        <f t="shared" si="43"/>
        <v>176.4075492662053</v>
      </c>
      <c r="AD60" s="56">
        <f t="shared" si="44"/>
        <v>2.3904872658086607</v>
      </c>
      <c r="AE60" s="99">
        <f t="shared" si="45"/>
        <v>371.43720699219176</v>
      </c>
      <c r="AF60" s="100">
        <f t="shared" si="28"/>
        <v>0.40367236729276756</v>
      </c>
    </row>
    <row r="61" spans="1:32" ht="12.75">
      <c r="A61" s="104">
        <v>225</v>
      </c>
      <c r="B61" s="93">
        <f t="shared" si="13"/>
        <v>129.13341742868982</v>
      </c>
      <c r="C61" s="82">
        <f t="shared" si="14"/>
        <v>145.14631109739176</v>
      </c>
      <c r="D61" s="56">
        <f t="shared" si="29"/>
        <v>145.14631109739176</v>
      </c>
      <c r="E61" s="60">
        <f t="shared" si="15"/>
        <v>4.173118797254267</v>
      </c>
      <c r="F61" s="56">
        <f t="shared" si="16"/>
        <v>0</v>
      </c>
      <c r="G61" s="75">
        <f t="shared" si="17"/>
        <v>4.163132497166265</v>
      </c>
      <c r="H61" s="83">
        <f t="shared" si="30"/>
        <v>0.8568737161912531</v>
      </c>
      <c r="I61" s="114">
        <f t="shared" si="18"/>
        <v>192.9746112186968</v>
      </c>
      <c r="J61" s="115"/>
      <c r="K61" s="82">
        <f t="shared" si="31"/>
        <v>242.522216973119</v>
      </c>
      <c r="L61" s="56">
        <f t="shared" si="32"/>
        <v>307.51468319543767</v>
      </c>
      <c r="M61" s="60">
        <f t="shared" si="20"/>
        <v>34.97595629227451</v>
      </c>
      <c r="N61" s="56">
        <f t="shared" si="21"/>
        <v>64.99246622231868</v>
      </c>
      <c r="O61" s="75">
        <f t="shared" si="22"/>
        <v>4.334073885058996</v>
      </c>
      <c r="P61" s="89">
        <f t="shared" si="33"/>
        <v>0.8454678324180225</v>
      </c>
      <c r="Q61" s="82">
        <f t="shared" si="34"/>
        <v>553.4600091232189</v>
      </c>
      <c r="R61" s="56">
        <f t="shared" si="35"/>
        <v>970.4666823301739</v>
      </c>
      <c r="S61" s="56">
        <f t="shared" si="36"/>
        <v>987.1160726909203</v>
      </c>
      <c r="T61" s="56">
        <f t="shared" si="37"/>
        <v>2573.505260783545</v>
      </c>
      <c r="U61" s="56">
        <f t="shared" si="38"/>
        <v>2998.3347781824614</v>
      </c>
      <c r="V61" s="56">
        <f t="shared" si="39"/>
        <v>611.3239693460782</v>
      </c>
      <c r="W61" s="56">
        <f t="shared" si="40"/>
        <v>1049.585995441759</v>
      </c>
      <c r="X61" s="93">
        <f t="shared" si="41"/>
        <v>1064.9217321288386</v>
      </c>
      <c r="Y61" s="95">
        <f t="shared" si="42"/>
        <v>26.4401803761188</v>
      </c>
      <c r="Z61" s="75">
        <f t="shared" si="24"/>
        <v>26.440180376118803</v>
      </c>
      <c r="AA61" s="96">
        <f t="shared" si="25"/>
        <v>30.554023361061375</v>
      </c>
      <c r="AB61" s="93">
        <f t="shared" si="26"/>
        <v>123.5598196238812</v>
      </c>
      <c r="AC61" s="98">
        <f t="shared" si="43"/>
        <v>174.28549360605348</v>
      </c>
      <c r="AD61" s="56">
        <f t="shared" si="44"/>
        <v>2.3838375171416564</v>
      </c>
      <c r="AE61" s="99">
        <f t="shared" si="45"/>
        <v>367.9100293455516</v>
      </c>
      <c r="AF61" s="100">
        <f t="shared" si="28"/>
        <v>0.4025881877498965</v>
      </c>
    </row>
    <row r="62" spans="1:32" ht="12.75">
      <c r="A62" s="104">
        <v>230</v>
      </c>
      <c r="B62" s="93">
        <f t="shared" si="13"/>
        <v>131.63341742868982</v>
      </c>
      <c r="C62" s="82">
        <f t="shared" si="14"/>
        <v>147.8714630965639</v>
      </c>
      <c r="D62" s="56">
        <f t="shared" si="29"/>
        <v>147.8714630965639</v>
      </c>
      <c r="E62" s="60">
        <f t="shared" si="15"/>
        <v>4.495533602983251</v>
      </c>
      <c r="F62" s="56">
        <f t="shared" si="16"/>
        <v>0</v>
      </c>
      <c r="G62" s="75">
        <f t="shared" si="17"/>
        <v>4.164187521165294</v>
      </c>
      <c r="H62" s="83">
        <f t="shared" si="30"/>
        <v>0.8583124790214873</v>
      </c>
      <c r="I62" s="114">
        <f t="shared" si="18"/>
        <v>192.9746112186968</v>
      </c>
      <c r="J62" s="115"/>
      <c r="K62" s="82">
        <f t="shared" si="31"/>
        <v>247.87258784487813</v>
      </c>
      <c r="L62" s="56">
        <f t="shared" si="32"/>
        <v>320.01561207169175</v>
      </c>
      <c r="M62" s="60">
        <f t="shared" si="20"/>
        <v>38.350477560920794</v>
      </c>
      <c r="N62" s="56">
        <f t="shared" si="21"/>
        <v>72.14302422681362</v>
      </c>
      <c r="O62" s="75">
        <f t="shared" si="22"/>
        <v>4.34599876575452</v>
      </c>
      <c r="P62" s="89">
        <f t="shared" si="33"/>
        <v>0.846242985209837</v>
      </c>
      <c r="Q62" s="82">
        <f t="shared" si="34"/>
        <v>564.0219165149828</v>
      </c>
      <c r="R62" s="56">
        <f t="shared" si="35"/>
        <v>993.2537435725211</v>
      </c>
      <c r="S62" s="56">
        <f t="shared" si="36"/>
        <v>1010.8167778204686</v>
      </c>
      <c r="T62" s="56">
        <f t="shared" si="37"/>
        <v>2586.284837412738</v>
      </c>
      <c r="U62" s="56">
        <f t="shared" si="38"/>
        <v>3021.0634837359657</v>
      </c>
      <c r="V62" s="56">
        <f t="shared" si="39"/>
        <v>623.0663301573725</v>
      </c>
      <c r="W62" s="56">
        <f t="shared" si="40"/>
        <v>1075.3631889207286</v>
      </c>
      <c r="X62" s="93">
        <f t="shared" si="41"/>
        <v>1090.4297020258807</v>
      </c>
      <c r="Y62" s="95">
        <f t="shared" si="42"/>
        <v>27.110153366345273</v>
      </c>
      <c r="Z62" s="75">
        <f t="shared" si="24"/>
        <v>27.11015336634528</v>
      </c>
      <c r="AA62" s="96">
        <f t="shared" si="25"/>
        <v>31.344865025754427</v>
      </c>
      <c r="AB62" s="93">
        <f t="shared" si="26"/>
        <v>122.88984663365473</v>
      </c>
      <c r="AC62" s="98">
        <f t="shared" si="43"/>
        <v>172.11135124230938</v>
      </c>
      <c r="AD62" s="56">
        <f t="shared" si="44"/>
        <v>2.3760861907938846</v>
      </c>
      <c r="AE62" s="99">
        <f t="shared" si="45"/>
        <v>364.35492357611935</v>
      </c>
      <c r="AF62" s="100">
        <f t="shared" si="28"/>
        <v>0.4013932221953069</v>
      </c>
    </row>
    <row r="63" spans="1:32" ht="12.75">
      <c r="A63" s="104">
        <v>235</v>
      </c>
      <c r="B63" s="93">
        <f t="shared" si="13"/>
        <v>134.13341742868982</v>
      </c>
      <c r="C63" s="82">
        <f t="shared" si="14"/>
        <v>150.58575578123566</v>
      </c>
      <c r="D63" s="56">
        <f t="shared" si="29"/>
        <v>150.58575578123566</v>
      </c>
      <c r="E63" s="60">
        <f t="shared" si="15"/>
        <v>4.83623320544417</v>
      </c>
      <c r="F63" s="56">
        <f t="shared" si="16"/>
        <v>0</v>
      </c>
      <c r="G63" s="75">
        <f t="shared" si="17"/>
        <v>4.165267283177485</v>
      </c>
      <c r="H63" s="83">
        <f t="shared" si="30"/>
        <v>0.8597639816068205</v>
      </c>
      <c r="I63" s="114">
        <f t="shared" si="18"/>
        <v>192.9746112186968</v>
      </c>
      <c r="J63" s="115"/>
      <c r="K63" s="82">
        <f t="shared" si="31"/>
        <v>253.22005515935325</v>
      </c>
      <c r="L63" s="56">
        <f t="shared" si="32"/>
        <v>332.5072713131915</v>
      </c>
      <c r="M63" s="60">
        <f t="shared" si="20"/>
        <v>41.96690759453777</v>
      </c>
      <c r="N63" s="56">
        <f t="shared" si="21"/>
        <v>79.28721615383824</v>
      </c>
      <c r="O63" s="75">
        <f t="shared" si="22"/>
        <v>4.358518017983415</v>
      </c>
      <c r="P63" s="89">
        <f t="shared" si="33"/>
        <v>0.8470016829212922</v>
      </c>
      <c r="Q63" s="82">
        <f t="shared" si="34"/>
        <v>574.5947465373487</v>
      </c>
      <c r="R63" s="56">
        <f t="shared" si="35"/>
        <v>1016.2004738630241</v>
      </c>
      <c r="S63" s="56">
        <f t="shared" si="36"/>
        <v>1034.7175833969995</v>
      </c>
      <c r="T63" s="56">
        <f t="shared" si="37"/>
        <v>2598.9403433340717</v>
      </c>
      <c r="U63" s="56">
        <f t="shared" si="38"/>
        <v>3043.755410166681</v>
      </c>
      <c r="V63" s="56">
        <f t="shared" si="39"/>
        <v>634.7814037664232</v>
      </c>
      <c r="W63" s="56">
        <f t="shared" si="40"/>
        <v>1101.3969377695705</v>
      </c>
      <c r="X63" s="93">
        <f t="shared" si="41"/>
        <v>1116.163231317905</v>
      </c>
      <c r="Y63" s="95">
        <f t="shared" si="42"/>
        <v>27.786012519212317</v>
      </c>
      <c r="Z63" s="75">
        <f t="shared" si="24"/>
        <v>27.78601251921232</v>
      </c>
      <c r="AA63" s="96">
        <f t="shared" si="25"/>
        <v>32.13728907459598</v>
      </c>
      <c r="AB63" s="93">
        <f t="shared" si="26"/>
        <v>122.21398748078768</v>
      </c>
      <c r="AC63" s="98">
        <f t="shared" si="43"/>
        <v>169.8842789180353</v>
      </c>
      <c r="AD63" s="56">
        <f t="shared" si="44"/>
        <v>2.3671057187642655</v>
      </c>
      <c r="AE63" s="99">
        <f t="shared" si="45"/>
        <v>360.7698027396397</v>
      </c>
      <c r="AF63" s="100">
        <f t="shared" si="28"/>
        <v>0.4000845230742534</v>
      </c>
    </row>
    <row r="64" spans="1:32" ht="12.75">
      <c r="A64" s="104">
        <v>240</v>
      </c>
      <c r="B64" s="93">
        <f t="shared" si="13"/>
        <v>136.63341742868982</v>
      </c>
      <c r="C64" s="82">
        <f t="shared" si="14"/>
        <v>153.28883417970243</v>
      </c>
      <c r="D64" s="56">
        <f t="shared" si="29"/>
        <v>153.28883417970243</v>
      </c>
      <c r="E64" s="60">
        <f t="shared" si="15"/>
        <v>5.195775870633643</v>
      </c>
      <c r="F64" s="56">
        <f t="shared" si="16"/>
        <v>0</v>
      </c>
      <c r="G64" s="75">
        <f t="shared" si="17"/>
        <v>4.166371885138926</v>
      </c>
      <c r="H64" s="83">
        <f t="shared" si="30"/>
        <v>0.8612303007360844</v>
      </c>
      <c r="I64" s="114">
        <f t="shared" si="18"/>
        <v>192.9746112186968</v>
      </c>
      <c r="J64" s="115"/>
      <c r="K64" s="82">
        <f t="shared" si="31"/>
        <v>258.5646840550486</v>
      </c>
      <c r="L64" s="56">
        <f t="shared" si="32"/>
        <v>344.9857288434555</v>
      </c>
      <c r="M64" s="60">
        <f t="shared" si="20"/>
        <v>45.83653527623926</v>
      </c>
      <c r="N64" s="56">
        <f t="shared" si="21"/>
        <v>86.4210447884069</v>
      </c>
      <c r="O64" s="75">
        <f t="shared" si="22"/>
        <v>4.371665216272455</v>
      </c>
      <c r="P64" s="89">
        <f t="shared" si="33"/>
        <v>0.847744679697805</v>
      </c>
      <c r="Q64" s="82">
        <f t="shared" si="34"/>
        <v>585.1788501150679</v>
      </c>
      <c r="R64" s="56">
        <f t="shared" si="35"/>
        <v>1039.319145973587</v>
      </c>
      <c r="S64" s="56">
        <f t="shared" si="36"/>
        <v>1058.8337756152316</v>
      </c>
      <c r="T64" s="56">
        <f t="shared" si="37"/>
        <v>2611.4714922195444</v>
      </c>
      <c r="U64" s="56">
        <f t="shared" si="38"/>
        <v>3066.4082151956613</v>
      </c>
      <c r="V64" s="56">
        <f t="shared" si="39"/>
        <v>646.4681044872048</v>
      </c>
      <c r="W64" s="56">
        <f t="shared" si="40"/>
        <v>1127.708139845641</v>
      </c>
      <c r="X64" s="93">
        <f t="shared" si="41"/>
        <v>1142.140661838931</v>
      </c>
      <c r="Y64" s="95">
        <f t="shared" si="42"/>
        <v>28.468695696726446</v>
      </c>
      <c r="Z64" s="75">
        <f t="shared" si="24"/>
        <v>28.468695696726446</v>
      </c>
      <c r="AA64" s="96">
        <f t="shared" si="25"/>
        <v>32.93142371661383</v>
      </c>
      <c r="AB64" s="93">
        <f t="shared" si="26"/>
        <v>121.53130430327356</v>
      </c>
      <c r="AC64" s="98">
        <f t="shared" si="43"/>
        <v>167.60315741361003</v>
      </c>
      <c r="AD64" s="56">
        <f t="shared" si="44"/>
        <v>2.356753707925703</v>
      </c>
      <c r="AE64" s="99">
        <f t="shared" si="45"/>
        <v>357.1523739069049</v>
      </c>
      <c r="AF64" s="100">
        <f t="shared" si="28"/>
        <v>0.39865853826046943</v>
      </c>
    </row>
    <row r="65" spans="1:32" ht="12.75">
      <c r="A65" s="104">
        <v>245</v>
      </c>
      <c r="B65" s="93">
        <f t="shared" si="13"/>
        <v>139.13341742868982</v>
      </c>
      <c r="C65" s="82">
        <f t="shared" si="14"/>
        <v>155.9802998075308</v>
      </c>
      <c r="D65" s="56">
        <f t="shared" si="29"/>
        <v>155.9802998075308</v>
      </c>
      <c r="E65" s="60">
        <f t="shared" si="15"/>
        <v>5.574702232326513</v>
      </c>
      <c r="F65" s="56">
        <f t="shared" si="16"/>
        <v>0</v>
      </c>
      <c r="G65" s="75">
        <f t="shared" si="17"/>
        <v>4.167501430914787</v>
      </c>
      <c r="H65" s="83">
        <f t="shared" si="30"/>
        <v>0.862713660756914</v>
      </c>
      <c r="I65" s="114">
        <f t="shared" si="18"/>
        <v>192.9746112186968</v>
      </c>
      <c r="J65" s="115"/>
      <c r="K65" s="82">
        <f t="shared" si="31"/>
        <v>263.90651512392196</v>
      </c>
      <c r="L65" s="56">
        <f t="shared" si="32"/>
        <v>357.44796659653593</v>
      </c>
      <c r="M65" s="60">
        <f t="shared" si="20"/>
        <v>49.97092002222104</v>
      </c>
      <c r="N65" s="56">
        <f t="shared" si="21"/>
        <v>93.54145147261397</v>
      </c>
      <c r="O65" s="75">
        <f t="shared" si="22"/>
        <v>4.3854762956346605</v>
      </c>
      <c r="P65" s="89">
        <f t="shared" si="33"/>
        <v>0.8484728240850237</v>
      </c>
      <c r="Q65" s="82">
        <f t="shared" si="34"/>
        <v>595.7745882529483</v>
      </c>
      <c r="R65" s="56">
        <f t="shared" si="35"/>
        <v>1062.623271270979</v>
      </c>
      <c r="S65" s="56">
        <f t="shared" si="36"/>
        <v>1083.1822460764265</v>
      </c>
      <c r="T65" s="56">
        <f t="shared" si="37"/>
        <v>2623.87781488743</v>
      </c>
      <c r="U65" s="56">
        <f t="shared" si="38"/>
        <v>3089.0214093802565</v>
      </c>
      <c r="V65" s="56">
        <f t="shared" si="39"/>
        <v>658.1251520837754</v>
      </c>
      <c r="W65" s="56">
        <f t="shared" si="40"/>
        <v>1154.3197916059498</v>
      </c>
      <c r="X65" s="93">
        <f t="shared" si="41"/>
        <v>1168.3821904325782</v>
      </c>
      <c r="Y65" s="95">
        <f t="shared" si="42"/>
        <v>29.159207046215393</v>
      </c>
      <c r="Z65" s="75">
        <f t="shared" si="24"/>
        <v>29.159207046215393</v>
      </c>
      <c r="AA65" s="96">
        <f t="shared" si="25"/>
        <v>33.72739670723243</v>
      </c>
      <c r="AB65" s="93">
        <f t="shared" si="26"/>
        <v>120.84079295378461</v>
      </c>
      <c r="AC65" s="98">
        <f t="shared" si="43"/>
        <v>165.2666648127571</v>
      </c>
      <c r="AD65" s="56">
        <f t="shared" si="44"/>
        <v>2.3448710204119383</v>
      </c>
      <c r="AE65" s="99">
        <f t="shared" si="45"/>
        <v>353.5001033377257</v>
      </c>
      <c r="AF65" s="100">
        <f t="shared" si="28"/>
        <v>0.3971112883151282</v>
      </c>
    </row>
    <row r="66" spans="1:32" ht="12.75">
      <c r="A66" s="104">
        <v>250</v>
      </c>
      <c r="B66" s="93">
        <f t="shared" si="13"/>
        <v>141.63341742868982</v>
      </c>
      <c r="C66" s="82">
        <f t="shared" si="14"/>
        <v>158.6597161825933</v>
      </c>
      <c r="D66" s="56">
        <f t="shared" si="29"/>
        <v>158.6597161825933</v>
      </c>
      <c r="E66" s="60">
        <f t="shared" si="15"/>
        <v>5.973532651615848</v>
      </c>
      <c r="F66" s="56">
        <f t="shared" si="16"/>
        <v>0</v>
      </c>
      <c r="G66" s="75">
        <f t="shared" si="17"/>
        <v>4.1686560270085655</v>
      </c>
      <c r="H66" s="83">
        <f t="shared" si="30"/>
        <v>0.86421638474241</v>
      </c>
      <c r="I66" s="114">
        <f t="shared" si="18"/>
        <v>192.9746112186968</v>
      </c>
      <c r="J66" s="115"/>
      <c r="K66" s="82">
        <f t="shared" si="31"/>
        <v>269.2455708435014</v>
      </c>
      <c r="L66" s="56">
        <f t="shared" si="32"/>
        <v>369.8929314903478</v>
      </c>
      <c r="M66" s="60">
        <f t="shared" si="20"/>
        <v>54.3819120705237</v>
      </c>
      <c r="N66" s="56">
        <f t="shared" si="21"/>
        <v>100.64736064684638</v>
      </c>
      <c r="O66" s="75">
        <f t="shared" si="22"/>
        <v>4.399989764496703</v>
      </c>
      <c r="P66" s="89">
        <f t="shared" si="33"/>
        <v>0.8491870066564706</v>
      </c>
      <c r="Q66" s="82">
        <f t="shared" si="34"/>
        <v>606.3823326037746</v>
      </c>
      <c r="R66" s="56">
        <f t="shared" si="35"/>
        <v>1086.1277864568667</v>
      </c>
      <c r="S66" s="56">
        <f t="shared" si="36"/>
        <v>1107.7817357322954</v>
      </c>
      <c r="T66" s="56">
        <f t="shared" si="37"/>
        <v>2636.15868954562</v>
      </c>
      <c r="U66" s="56">
        <f t="shared" si="38"/>
        <v>3111.599102860792</v>
      </c>
      <c r="V66" s="56">
        <f t="shared" si="39"/>
        <v>669.7510934067237</v>
      </c>
      <c r="W66" s="56">
        <f t="shared" si="40"/>
        <v>1181.2574125536253</v>
      </c>
      <c r="X66" s="93">
        <f t="shared" si="41"/>
        <v>1194.9102758996617</v>
      </c>
      <c r="Y66" s="95">
        <f t="shared" si="42"/>
        <v>29.858595882032855</v>
      </c>
      <c r="Z66" s="75">
        <f t="shared" si="24"/>
        <v>29.858595882032834</v>
      </c>
      <c r="AA66" s="96">
        <f t="shared" si="25"/>
        <v>34.52533527260939</v>
      </c>
      <c r="AB66" s="93">
        <f t="shared" si="26"/>
        <v>120.14140411796714</v>
      </c>
      <c r="AC66" s="98">
        <f t="shared" si="43"/>
        <v>162.8732049868991</v>
      </c>
      <c r="AD66" s="56">
        <f t="shared" si="44"/>
        <v>2.331279800616615</v>
      </c>
      <c r="AE66" s="99">
        <f t="shared" si="45"/>
        <v>349.8101798893453</v>
      </c>
      <c r="AF66" s="100">
        <f t="shared" si="28"/>
        <v>0.3954381970669272</v>
      </c>
    </row>
    <row r="67" spans="1:32" ht="12.75">
      <c r="A67" s="104">
        <v>255</v>
      </c>
      <c r="B67" s="93">
        <f t="shared" si="13"/>
        <v>144.13341742868982</v>
      </c>
      <c r="C67" s="82">
        <f t="shared" si="14"/>
        <v>161.3265721908387</v>
      </c>
      <c r="D67" s="56">
        <f t="shared" si="29"/>
        <v>161.3265721908387</v>
      </c>
      <c r="E67" s="60">
        <f t="shared" si="15"/>
        <v>6.392757861737187</v>
      </c>
      <c r="F67" s="56">
        <f t="shared" si="16"/>
        <v>0</v>
      </c>
      <c r="G67" s="75">
        <f t="shared" si="17"/>
        <v>4.169835783239364</v>
      </c>
      <c r="H67" s="83">
        <f t="shared" si="30"/>
        <v>0.8657411367526153</v>
      </c>
      <c r="I67" s="114">
        <f t="shared" si="18"/>
        <v>192.9746112186968</v>
      </c>
      <c r="J67" s="115"/>
      <c r="K67" s="82">
        <f t="shared" si="31"/>
        <v>274.58181604980075</v>
      </c>
      <c r="L67" s="56">
        <f t="shared" si="32"/>
        <v>382.3185484323169</v>
      </c>
      <c r="M67" s="60">
        <f t="shared" si="20"/>
        <v>59.081637610756815</v>
      </c>
      <c r="N67" s="56">
        <f t="shared" si="21"/>
        <v>107.73673238251615</v>
      </c>
      <c r="O67" s="75">
        <f t="shared" si="22"/>
        <v>4.41524694835625</v>
      </c>
      <c r="P67" s="89">
        <f t="shared" si="33"/>
        <v>0.8498884136809041</v>
      </c>
      <c r="Q67" s="82">
        <f t="shared" si="34"/>
        <v>617.0024660479197</v>
      </c>
      <c r="R67" s="56">
        <f t="shared" si="35"/>
        <v>1109.8492821066286</v>
      </c>
      <c r="S67" s="56">
        <f t="shared" si="36"/>
        <v>1132.6531872882126</v>
      </c>
      <c r="T67" s="56">
        <f t="shared" si="37"/>
        <v>2648.3131794386804</v>
      </c>
      <c r="U67" s="56">
        <f t="shared" si="38"/>
        <v>3134.1422542394253</v>
      </c>
      <c r="V67" s="56">
        <f t="shared" si="39"/>
        <v>681.3441406956687</v>
      </c>
      <c r="W67" s="56">
        <f t="shared" si="40"/>
        <v>1208.5493300081741</v>
      </c>
      <c r="X67" s="93">
        <f t="shared" si="41"/>
        <v>1221.7499147737233</v>
      </c>
      <c r="Y67" s="95">
        <f t="shared" si="42"/>
        <v>30.568064681215844</v>
      </c>
      <c r="Z67" s="75">
        <f t="shared" si="24"/>
        <v>30.568064681215816</v>
      </c>
      <c r="AA67" s="96">
        <f t="shared" si="25"/>
        <v>35.32536617878166</v>
      </c>
      <c r="AB67" s="93">
        <f t="shared" si="26"/>
        <v>119.43193531878416</v>
      </c>
      <c r="AC67" s="98">
        <f t="shared" si="43"/>
        <v>160.4210050011642</v>
      </c>
      <c r="AD67" s="56">
        <f t="shared" si="44"/>
        <v>2.3157812564655114</v>
      </c>
      <c r="AE67" s="99">
        <f t="shared" si="45"/>
        <v>346.07946215595786</v>
      </c>
      <c r="AF67" s="100">
        <f t="shared" si="28"/>
        <v>0.3936343472116854</v>
      </c>
    </row>
    <row r="68" spans="1:32" ht="12.75">
      <c r="A68" s="104">
        <v>260</v>
      </c>
      <c r="B68" s="93">
        <f t="shared" si="13"/>
        <v>146.63341742868982</v>
      </c>
      <c r="C68" s="82">
        <f t="shared" si="14"/>
        <v>163.980264809371</v>
      </c>
      <c r="D68" s="56">
        <f t="shared" si="29"/>
        <v>163.980264809371</v>
      </c>
      <c r="E68" s="60">
        <f t="shared" si="15"/>
        <v>6.832830816346247</v>
      </c>
      <c r="F68" s="56">
        <f t="shared" si="16"/>
        <v>0</v>
      </c>
      <c r="G68" s="75">
        <f t="shared" si="17"/>
        <v>4.1710408133873855</v>
      </c>
      <c r="H68" s="83">
        <f t="shared" si="30"/>
        <v>0.8672910091407413</v>
      </c>
      <c r="I68" s="114">
        <f t="shared" si="18"/>
        <v>192.9746112186968</v>
      </c>
      <c r="J68" s="115"/>
      <c r="K68" s="82">
        <f t="shared" si="31"/>
        <v>279.915138453985</v>
      </c>
      <c r="L68" s="56">
        <f t="shared" si="32"/>
        <v>394.72129841497997</v>
      </c>
      <c r="M68" s="60">
        <f t="shared" si="20"/>
        <v>64.08249518715218</v>
      </c>
      <c r="N68" s="56">
        <f t="shared" si="21"/>
        <v>114.80615996099499</v>
      </c>
      <c r="O68" s="75">
        <f t="shared" si="22"/>
        <v>4.431292268862676</v>
      </c>
      <c r="P68" s="89">
        <f t="shared" si="33"/>
        <v>0.8505786217285913</v>
      </c>
      <c r="Q68" s="82">
        <f t="shared" si="34"/>
        <v>627.6353832854358</v>
      </c>
      <c r="R68" s="56">
        <f t="shared" si="35"/>
        <v>1133.8062852906448</v>
      </c>
      <c r="S68" s="56">
        <f t="shared" si="36"/>
        <v>1157.8201489296262</v>
      </c>
      <c r="T68" s="56">
        <f t="shared" si="37"/>
        <v>2660.339963393488</v>
      </c>
      <c r="U68" s="56">
        <f t="shared" si="38"/>
        <v>3156.6475545350754</v>
      </c>
      <c r="V68" s="56">
        <f t="shared" si="39"/>
        <v>692.9020922250572</v>
      </c>
      <c r="W68" s="56">
        <f t="shared" si="40"/>
        <v>1236.2271676823623</v>
      </c>
      <c r="X68" s="93">
        <f t="shared" si="41"/>
        <v>1248.9291263850403</v>
      </c>
      <c r="Y68" s="95">
        <f t="shared" si="42"/>
        <v>31.28900843310776</v>
      </c>
      <c r="Z68" s="75">
        <f t="shared" si="24"/>
        <v>31.289008433107732</v>
      </c>
      <c r="AA68" s="96">
        <f t="shared" si="25"/>
        <v>36.12761560767245</v>
      </c>
      <c r="AB68" s="93">
        <f t="shared" si="26"/>
        <v>118.71099156689223</v>
      </c>
      <c r="AC68" s="98">
        <f t="shared" si="43"/>
        <v>157.90810171506064</v>
      </c>
      <c r="AD68" s="56">
        <f t="shared" si="44"/>
        <v>2.2981533473437628</v>
      </c>
      <c r="AE68" s="99">
        <f t="shared" si="45"/>
        <v>342.3044179097457</v>
      </c>
      <c r="AF68" s="100">
        <f t="shared" si="28"/>
        <v>0.3916944777948393</v>
      </c>
    </row>
    <row r="69" spans="1:32" ht="12.75">
      <c r="A69" s="104">
        <v>265</v>
      </c>
      <c r="B69" s="93">
        <f t="shared" si="13"/>
        <v>149.13341742868982</v>
      </c>
      <c r="C69" s="82">
        <f t="shared" si="14"/>
        <v>166.6201001273612</v>
      </c>
      <c r="D69" s="56">
        <f t="shared" si="29"/>
        <v>166.6201001273612</v>
      </c>
      <c r="E69" s="60">
        <f t="shared" si="15"/>
        <v>7.294160564247209</v>
      </c>
      <c r="F69" s="56">
        <f t="shared" si="16"/>
        <v>0</v>
      </c>
      <c r="G69" s="75">
        <f t="shared" si="17"/>
        <v>4.172271235808082</v>
      </c>
      <c r="H69" s="83">
        <f t="shared" si="30"/>
        <v>0.8688694823987357</v>
      </c>
      <c r="I69" s="114">
        <f t="shared" si="18"/>
        <v>192.9746112186968</v>
      </c>
      <c r="J69" s="115"/>
      <c r="K69" s="82">
        <f t="shared" si="31"/>
        <v>285.2453486454462</v>
      </c>
      <c r="L69" s="56">
        <f t="shared" si="32"/>
        <v>407.0976963008694</v>
      </c>
      <c r="M69" s="60">
        <f t="shared" si="20"/>
        <v>69.39717048594065</v>
      </c>
      <c r="N69" s="56">
        <f t="shared" si="21"/>
        <v>121.85234765542322</v>
      </c>
      <c r="O69" s="75">
        <f t="shared" si="22"/>
        <v>4.448173563958348</v>
      </c>
      <c r="P69" s="89">
        <f t="shared" si="33"/>
        <v>0.8512595592137638</v>
      </c>
      <c r="Q69" s="82">
        <f t="shared" si="34"/>
        <v>638.2814914416109</v>
      </c>
      <c r="R69" s="56">
        <f t="shared" si="35"/>
        <v>1158.019612773672</v>
      </c>
      <c r="S69" s="56">
        <f t="shared" si="36"/>
        <v>1183.309254912711</v>
      </c>
      <c r="T69" s="56">
        <f t="shared" si="37"/>
        <v>2672.237350881046</v>
      </c>
      <c r="U69" s="56">
        <f t="shared" si="38"/>
        <v>3179.1112473932044</v>
      </c>
      <c r="V69" s="56">
        <f t="shared" si="39"/>
        <v>704.4223316561142</v>
      </c>
      <c r="W69" s="56">
        <f t="shared" si="40"/>
        <v>1264.3265676688004</v>
      </c>
      <c r="X69" s="93">
        <f t="shared" si="41"/>
        <v>1276.4796754302286</v>
      </c>
      <c r="Y69" s="95">
        <f t="shared" si="42"/>
        <v>32.02299775790885</v>
      </c>
      <c r="Z69" s="75">
        <f t="shared" si="24"/>
        <v>32.022997757908755</v>
      </c>
      <c r="AA69" s="96">
        <f t="shared" si="25"/>
        <v>36.932208899188964</v>
      </c>
      <c r="AB69" s="93">
        <f t="shared" si="26"/>
        <v>117.97700224209115</v>
      </c>
      <c r="AC69" s="98">
        <f t="shared" si="43"/>
        <v>155.33223547665267</v>
      </c>
      <c r="AD69" s="56">
        <f t="shared" si="44"/>
        <v>2.278148446770756</v>
      </c>
      <c r="AE69" s="99">
        <f t="shared" si="45"/>
        <v>338.481052012283</v>
      </c>
      <c r="AF69" s="100">
        <f t="shared" si="28"/>
        <v>0.3896127525932612</v>
      </c>
    </row>
    <row r="70" spans="1:32" ht="12.75">
      <c r="A70" s="104">
        <v>270</v>
      </c>
      <c r="B70" s="93">
        <f t="shared" si="13"/>
        <v>151.63341742868982</v>
      </c>
      <c r="C70" s="82">
        <f t="shared" si="14"/>
        <v>169.2452870896736</v>
      </c>
      <c r="D70" s="56">
        <f t="shared" si="29"/>
        <v>169.2452870896736</v>
      </c>
      <c r="E70" s="60">
        <f t="shared" si="15"/>
        <v>7.777104427734045</v>
      </c>
      <c r="F70" s="56">
        <f t="shared" si="16"/>
        <v>0</v>
      </c>
      <c r="G70" s="75">
        <f t="shared" si="17"/>
        <v>4.173527174015451</v>
      </c>
      <c r="H70" s="83">
        <f t="shared" si="30"/>
        <v>0.8704804373644643</v>
      </c>
      <c r="I70" s="114">
        <f t="shared" si="18"/>
        <v>192.9746112186968</v>
      </c>
      <c r="J70" s="115"/>
      <c r="K70" s="82">
        <f t="shared" si="31"/>
        <v>290.57217178801375</v>
      </c>
      <c r="L70" s="56">
        <f t="shared" si="32"/>
        <v>419.4451098977811</v>
      </c>
      <c r="M70" s="60">
        <f t="shared" si="20"/>
        <v>75.03864821112327</v>
      </c>
      <c r="N70" s="56">
        <f t="shared" si="21"/>
        <v>128.87293810976735</v>
      </c>
      <c r="O70" s="75">
        <f t="shared" si="22"/>
        <v>4.465942455903357</v>
      </c>
      <c r="P70" s="89">
        <f t="shared" si="33"/>
        <v>0.8519335236386966</v>
      </c>
      <c r="Q70" s="82">
        <f t="shared" si="34"/>
        <v>648.9412106871537</v>
      </c>
      <c r="R70" s="56">
        <f t="shared" si="35"/>
        <v>1182.512817094573</v>
      </c>
      <c r="S70" s="56">
        <f t="shared" si="36"/>
        <v>1209.1508393848349</v>
      </c>
      <c r="T70" s="56">
        <f t="shared" si="37"/>
        <v>2684.003264001393</v>
      </c>
      <c r="U70" s="56">
        <f t="shared" si="38"/>
        <v>3201.531265983229</v>
      </c>
      <c r="V70" s="56">
        <f t="shared" si="39"/>
        <v>715.901795197211</v>
      </c>
      <c r="W70" s="56">
        <f t="shared" si="40"/>
        <v>1292.8880343843425</v>
      </c>
      <c r="X70" s="93">
        <f t="shared" si="41"/>
        <v>1304.4379205129253</v>
      </c>
      <c r="Y70" s="95">
        <f t="shared" si="42"/>
        <v>32.77178555939403</v>
      </c>
      <c r="Z70" s="75">
        <f t="shared" si="24"/>
        <v>32.77178555939388</v>
      </c>
      <c r="AA70" s="96">
        <f t="shared" si="25"/>
        <v>37.739270270926355</v>
      </c>
      <c r="AB70" s="93">
        <f t="shared" si="26"/>
        <v>117.22821444060597</v>
      </c>
      <c r="AC70" s="98">
        <f t="shared" si="43"/>
        <v>152.69075749119142</v>
      </c>
      <c r="AD70" s="56">
        <f t="shared" si="44"/>
        <v>2.255490802019848</v>
      </c>
      <c r="AE70" s="99">
        <f t="shared" si="45"/>
        <v>334.6048143414644</v>
      </c>
      <c r="AF70" s="100">
        <f t="shared" si="28"/>
        <v>0.38738256410649063</v>
      </c>
    </row>
    <row r="71" spans="1:32" ht="12.75">
      <c r="A71" s="104">
        <v>275</v>
      </c>
      <c r="B71" s="93">
        <f t="shared" si="13"/>
        <v>154.13341742868982</v>
      </c>
      <c r="C71" s="82">
        <f t="shared" si="14"/>
        <v>171.8549204241266</v>
      </c>
      <c r="D71" s="56">
        <f t="shared" si="29"/>
        <v>171.8549204241266</v>
      </c>
      <c r="E71" s="60">
        <f t="shared" si="15"/>
        <v>8.281957310980669</v>
      </c>
      <c r="F71" s="56">
        <f t="shared" si="16"/>
        <v>0</v>
      </c>
      <c r="G71" s="75">
        <f t="shared" si="17"/>
        <v>4.174808757235279</v>
      </c>
      <c r="H71" s="83">
        <f t="shared" si="30"/>
        <v>0.872128235822251</v>
      </c>
      <c r="I71" s="114">
        <f t="shared" si="18"/>
        <v>192.9746112186968</v>
      </c>
      <c r="J71" s="115"/>
      <c r="K71" s="82">
        <f t="shared" si="31"/>
        <v>295.8952266379588</v>
      </c>
      <c r="L71" s="56">
        <f t="shared" si="32"/>
        <v>431.7618446026522</v>
      </c>
      <c r="M71" s="60">
        <f t="shared" si="20"/>
        <v>81.02021393170244</v>
      </c>
      <c r="N71" s="56">
        <f t="shared" si="21"/>
        <v>135.86661796469343</v>
      </c>
      <c r="O71" s="75">
        <f t="shared" si="22"/>
        <v>4.484654775500328</v>
      </c>
      <c r="P71" s="89">
        <f t="shared" si="33"/>
        <v>0.8526032733744726</v>
      </c>
      <c r="Q71" s="82">
        <f t="shared" si="34"/>
        <v>659.6149748743723</v>
      </c>
      <c r="R71" s="56">
        <f t="shared" si="35"/>
        <v>1207.3127559664122</v>
      </c>
      <c r="S71" s="56">
        <f t="shared" si="36"/>
        <v>1235.3797201148266</v>
      </c>
      <c r="T71" s="56">
        <f t="shared" si="37"/>
        <v>2695.635171907831</v>
      </c>
      <c r="U71" s="56">
        <f t="shared" si="38"/>
        <v>3223.9074881449037</v>
      </c>
      <c r="V71" s="56">
        <f t="shared" si="39"/>
        <v>727.3368905822325</v>
      </c>
      <c r="W71" s="56">
        <f t="shared" si="40"/>
        <v>1321.9579060879435</v>
      </c>
      <c r="X71" s="93">
        <f t="shared" si="41"/>
        <v>1332.8457909559968</v>
      </c>
      <c r="Y71" s="95">
        <f t="shared" si="42"/>
        <v>33.537344354004034</v>
      </c>
      <c r="Z71" s="75">
        <f t="shared" si="24"/>
        <v>33.53734435400367</v>
      </c>
      <c r="AA71" s="96">
        <f t="shared" si="25"/>
        <v>38.548922487901855</v>
      </c>
      <c r="AB71" s="93">
        <f t="shared" si="26"/>
        <v>116.46265564599597</v>
      </c>
      <c r="AC71" s="98">
        <f t="shared" si="43"/>
        <v>149.9805536338815</v>
      </c>
      <c r="AD71" s="56">
        <f t="shared" si="44"/>
        <v>2.229873535071272</v>
      </c>
      <c r="AE71" s="99">
        <f t="shared" si="45"/>
        <v>330.6704822319657</v>
      </c>
      <c r="AF71" s="100">
        <f t="shared" si="28"/>
        <v>0.3849963874706012</v>
      </c>
    </row>
    <row r="72" spans="1:32" ht="12.75">
      <c r="A72" s="104">
        <v>280</v>
      </c>
      <c r="B72" s="93">
        <f t="shared" si="13"/>
        <v>156.63341742868982</v>
      </c>
      <c r="C72" s="82">
        <f t="shared" si="14"/>
        <v>174.44795422116314</v>
      </c>
      <c r="D72" s="56">
        <f t="shared" si="29"/>
        <v>174.44795422116314</v>
      </c>
      <c r="E72" s="60">
        <f t="shared" si="15"/>
        <v>8.808937674918672</v>
      </c>
      <c r="F72" s="56">
        <f t="shared" si="16"/>
        <v>0</v>
      </c>
      <c r="G72" s="75">
        <f t="shared" si="17"/>
        <v>4.1761161209290965</v>
      </c>
      <c r="H72" s="83">
        <f t="shared" si="30"/>
        <v>0.8738178527500526</v>
      </c>
      <c r="I72" s="114">
        <f t="shared" si="18"/>
        <v>192.9746112186968</v>
      </c>
      <c r="J72" s="115"/>
      <c r="K72" s="82">
        <f t="shared" si="31"/>
        <v>301.21399285371126</v>
      </c>
      <c r="L72" s="56">
        <f t="shared" si="32"/>
        <v>444.04686591575455</v>
      </c>
      <c r="M72" s="60">
        <f t="shared" si="20"/>
        <v>87.35544275877432</v>
      </c>
      <c r="N72" s="56">
        <f t="shared" si="21"/>
        <v>142.8328730620433</v>
      </c>
      <c r="O72" s="75">
        <f t="shared" si="22"/>
        <v>4.504371052723066</v>
      </c>
      <c r="P72" s="89">
        <f t="shared" si="33"/>
        <v>0.8532721785665276</v>
      </c>
      <c r="Q72" s="82">
        <f t="shared" si="34"/>
        <v>670.3032321908936</v>
      </c>
      <c r="R72" s="56">
        <f t="shared" si="35"/>
        <v>1232.4503271277467</v>
      </c>
      <c r="S72" s="56">
        <f t="shared" si="36"/>
        <v>1262.0361948750221</v>
      </c>
      <c r="T72" s="56">
        <f t="shared" si="37"/>
        <v>2707.1299859465953</v>
      </c>
      <c r="U72" s="56">
        <f t="shared" si="38"/>
        <v>3246.241068086077</v>
      </c>
      <c r="V72" s="56">
        <f t="shared" si="39"/>
        <v>738.7233735770885</v>
      </c>
      <c r="W72" s="56">
        <f t="shared" si="40"/>
        <v>1351.5895018947783</v>
      </c>
      <c r="X72" s="93">
        <f t="shared" si="41"/>
        <v>1361.7519297225472</v>
      </c>
      <c r="Y72" s="95">
        <f t="shared" si="42"/>
        <v>34.32192697541101</v>
      </c>
      <c r="Z72" s="75">
        <f t="shared" si="24"/>
        <v>34.32192697541009</v>
      </c>
      <c r="AA72" s="96">
        <f t="shared" si="25"/>
        <v>39.36128642857093</v>
      </c>
      <c r="AB72" s="93">
        <f t="shared" si="26"/>
        <v>115.678073024589</v>
      </c>
      <c r="AC72" s="98">
        <f t="shared" si="43"/>
        <v>147.1979658298965</v>
      </c>
      <c r="AD72" s="56">
        <f t="shared" si="44"/>
        <v>2.200954680252376</v>
      </c>
      <c r="AE72" s="99">
        <f t="shared" si="45"/>
        <v>326.6720110179363</v>
      </c>
      <c r="AF72" s="100">
        <f t="shared" si="28"/>
        <v>0.3824456438630622</v>
      </c>
    </row>
    <row r="73" spans="1:32" ht="12.75">
      <c r="A73" s="104">
        <v>285</v>
      </c>
      <c r="B73" s="93">
        <f t="shared" si="13"/>
        <v>159.13341742868982</v>
      </c>
      <c r="C73" s="82">
        <f t="shared" si="14"/>
        <v>177.02316707267263</v>
      </c>
      <c r="D73" s="56">
        <f t="shared" si="29"/>
        <v>177.02316707267263</v>
      </c>
      <c r="E73" s="60">
        <f t="shared" si="15"/>
        <v>9.358169636225819</v>
      </c>
      <c r="F73" s="56">
        <f t="shared" si="16"/>
        <v>0</v>
      </c>
      <c r="G73" s="75">
        <f t="shared" si="17"/>
        <v>4.177449407289751</v>
      </c>
      <c r="H73" s="83">
        <f t="shared" si="30"/>
        <v>0.8755550495181615</v>
      </c>
      <c r="I73" s="114">
        <f t="shared" si="18"/>
        <v>192.9746112186968</v>
      </c>
      <c r="J73" s="115"/>
      <c r="K73" s="82">
        <f t="shared" si="31"/>
        <v>306.5277668530332</v>
      </c>
      <c r="L73" s="56">
        <f t="shared" si="32"/>
        <v>456.2994435382112</v>
      </c>
      <c r="M73" s="60">
        <f t="shared" si="20"/>
        <v>94.0581708839999</v>
      </c>
      <c r="N73" s="56">
        <f t="shared" si="21"/>
        <v>149.77167668517802</v>
      </c>
      <c r="O73" s="75">
        <f t="shared" si="22"/>
        <v>4.525157086341263</v>
      </c>
      <c r="P73" s="89">
        <f t="shared" si="33"/>
        <v>0.8539444223125846</v>
      </c>
      <c r="Q73" s="82">
        <f t="shared" si="34"/>
        <v>681.0064458326594</v>
      </c>
      <c r="R73" s="56">
        <f t="shared" si="35"/>
        <v>1257.9614281120446</v>
      </c>
      <c r="S73" s="56">
        <f t="shared" si="36"/>
        <v>1289.167313466201</v>
      </c>
      <c r="T73" s="56">
        <f t="shared" si="37"/>
        <v>2718.483920938043</v>
      </c>
      <c r="U73" s="56">
        <f t="shared" si="38"/>
        <v>3268.5335785236334</v>
      </c>
      <c r="V73" s="56">
        <f t="shared" si="39"/>
        <v>750.0561852922457</v>
      </c>
      <c r="W73" s="56">
        <f t="shared" si="40"/>
        <v>1381.844535433745</v>
      </c>
      <c r="X73" s="93">
        <f t="shared" si="41"/>
        <v>1391.2130601620258</v>
      </c>
      <c r="Y73" s="95">
        <f t="shared" si="42"/>
        <v>35.12814613261178</v>
      </c>
      <c r="Z73" s="75">
        <f t="shared" si="24"/>
        <v>35.12814613260965</v>
      </c>
      <c r="AA73" s="96">
        <f t="shared" si="25"/>
        <v>40.176480493294896</v>
      </c>
      <c r="AB73" s="93">
        <f t="shared" si="26"/>
        <v>114.87185386738821</v>
      </c>
      <c r="AC73" s="98">
        <f t="shared" si="43"/>
        <v>144.3386924916507</v>
      </c>
      <c r="AD73" s="56">
        <f t="shared" si="44"/>
        <v>2.168350833787709</v>
      </c>
      <c r="AE73" s="99">
        <f t="shared" si="45"/>
        <v>322.6023432292595</v>
      </c>
      <c r="AF73" s="100">
        <f t="shared" si="28"/>
        <v>0.3797205349693491</v>
      </c>
    </row>
    <row r="74" spans="1:32" ht="12.75">
      <c r="A74" s="104">
        <v>290</v>
      </c>
      <c r="B74" s="93">
        <f t="shared" si="13"/>
        <v>161.63341742868982</v>
      </c>
      <c r="C74" s="82">
        <f t="shared" si="14"/>
        <v>179.57911736018877</v>
      </c>
      <c r="D74" s="56">
        <f t="shared" si="29"/>
        <v>179.57911736018877</v>
      </c>
      <c r="E74" s="60">
        <f t="shared" si="15"/>
        <v>9.929660136542344</v>
      </c>
      <c r="F74" s="56">
        <f t="shared" si="16"/>
        <v>0</v>
      </c>
      <c r="G74" s="75">
        <f t="shared" si="17"/>
        <v>4.178808765709597</v>
      </c>
      <c r="H74" s="83">
        <f t="shared" si="30"/>
        <v>0.8773465930233547</v>
      </c>
      <c r="I74" s="114">
        <f t="shared" si="18"/>
        <v>192.9746112186968</v>
      </c>
      <c r="J74" s="115"/>
      <c r="K74" s="82">
        <f t="shared" si="31"/>
        <v>311.83560368532915</v>
      </c>
      <c r="L74" s="56">
        <f t="shared" si="32"/>
        <v>468.5188449522516</v>
      </c>
      <c r="M74" s="60">
        <f t="shared" si="20"/>
        <v>101.14244200900231</v>
      </c>
      <c r="N74" s="56">
        <f t="shared" si="21"/>
        <v>156.68324126692244</v>
      </c>
      <c r="O74" s="75">
        <f t="shared" si="22"/>
        <v>4.547084608159311</v>
      </c>
      <c r="P74" s="89">
        <f t="shared" si="33"/>
        <v>0.8546252605936089</v>
      </c>
      <c r="Q74" s="82">
        <f t="shared" si="34"/>
        <v>691.7250946981382</v>
      </c>
      <c r="R74" s="56">
        <f t="shared" si="35"/>
        <v>1283.8882269932114</v>
      </c>
      <c r="S74" s="56">
        <f t="shared" si="36"/>
        <v>1316.8285239352388</v>
      </c>
      <c r="T74" s="56">
        <f t="shared" si="37"/>
        <v>2729.6923176305736</v>
      </c>
      <c r="U74" s="56">
        <f t="shared" si="38"/>
        <v>3290.786300961589</v>
      </c>
      <c r="V74" s="56">
        <f t="shared" si="39"/>
        <v>761.3292433654816</v>
      </c>
      <c r="W74" s="56">
        <f t="shared" si="40"/>
        <v>1412.7949882524445</v>
      </c>
      <c r="X74" s="93">
        <f t="shared" si="41"/>
        <v>1421.2956684080018</v>
      </c>
      <c r="Y74" s="95">
        <f t="shared" si="42"/>
        <v>35.959075362232795</v>
      </c>
      <c r="Z74" s="75">
        <f t="shared" si="24"/>
        <v>35.95907536222761</v>
      </c>
      <c r="AA74" s="96">
        <f t="shared" si="25"/>
        <v>40.99461979776424</v>
      </c>
      <c r="AB74" s="93">
        <f t="shared" si="26"/>
        <v>114.0409246377672</v>
      </c>
      <c r="AC74" s="98">
        <f t="shared" si="43"/>
        <v>141.39765137937724</v>
      </c>
      <c r="AD74" s="56">
        <f t="shared" si="44"/>
        <v>2.13162423877139</v>
      </c>
      <c r="AE74" s="99">
        <f t="shared" si="45"/>
        <v>318.4531616589038</v>
      </c>
      <c r="AF74" s="100">
        <f t="shared" si="28"/>
        <v>0.3768098232654798</v>
      </c>
    </row>
    <row r="75" spans="1:32" ht="12.75">
      <c r="A75" s="104">
        <v>295</v>
      </c>
      <c r="B75" s="93">
        <f t="shared" si="13"/>
        <v>164.13341742868982</v>
      </c>
      <c r="C75" s="82">
        <f t="shared" si="14"/>
        <v>182.11408388126267</v>
      </c>
      <c r="D75" s="56">
        <f t="shared" si="29"/>
        <v>182.11408388126267</v>
      </c>
      <c r="E75" s="60">
        <f t="shared" si="15"/>
        <v>10.52326915263355</v>
      </c>
      <c r="F75" s="56">
        <f t="shared" si="16"/>
        <v>0</v>
      </c>
      <c r="G75" s="75">
        <f t="shared" si="17"/>
        <v>4.180194353222351</v>
      </c>
      <c r="H75" s="83">
        <f t="shared" si="30"/>
        <v>0.8792005457239738</v>
      </c>
      <c r="I75" s="114">
        <f t="shared" si="18"/>
        <v>192.9746112186968</v>
      </c>
      <c r="J75" s="115"/>
      <c r="K75" s="82">
        <f t="shared" si="31"/>
        <v>317.13623811138916</v>
      </c>
      <c r="L75" s="56">
        <f t="shared" si="32"/>
        <v>480.70409547041925</v>
      </c>
      <c r="M75" s="60">
        <f t="shared" si="20"/>
        <v>108.62241268791502</v>
      </c>
      <c r="N75" s="56">
        <f t="shared" si="21"/>
        <v>163.56785735903009</v>
      </c>
      <c r="O75" s="75">
        <f t="shared" si="22"/>
        <v>4.570232061320926</v>
      </c>
      <c r="P75" s="89">
        <f t="shared" si="33"/>
        <v>0.8553213724255727</v>
      </c>
      <c r="Q75" s="82">
        <f t="shared" si="34"/>
        <v>702.4596741058804</v>
      </c>
      <c r="R75" s="56">
        <f t="shared" si="35"/>
        <v>1310.280872151859</v>
      </c>
      <c r="S75" s="56">
        <f t="shared" si="36"/>
        <v>1345.0858559987412</v>
      </c>
      <c r="T75" s="56">
        <f t="shared" si="37"/>
        <v>2740.7494067287216</v>
      </c>
      <c r="U75" s="56">
        <f t="shared" si="38"/>
        <v>3312.99972219483</v>
      </c>
      <c r="V75" s="56">
        <f t="shared" si="39"/>
        <v>772.5351648667522</v>
      </c>
      <c r="W75" s="56">
        <f t="shared" si="40"/>
        <v>1444.5258626365896</v>
      </c>
      <c r="X75" s="93">
        <f t="shared" si="41"/>
        <v>1452.0781798996081</v>
      </c>
      <c r="Y75" s="95">
        <f t="shared" si="42"/>
        <v>36.81838294145188</v>
      </c>
      <c r="Z75" s="75">
        <f t="shared" si="24"/>
        <v>36.81838294143915</v>
      </c>
      <c r="AA75" s="96">
        <f t="shared" si="25"/>
        <v>41.815815074459266</v>
      </c>
      <c r="AB75" s="93">
        <f t="shared" si="26"/>
        <v>113.18161705854811</v>
      </c>
      <c r="AC75" s="98">
        <f t="shared" si="43"/>
        <v>138.36878461712283</v>
      </c>
      <c r="AD75" s="56">
        <f t="shared" si="44"/>
        <v>2.090253086544388</v>
      </c>
      <c r="AE75" s="99">
        <f t="shared" si="45"/>
        <v>314.2145618493785</v>
      </c>
      <c r="AF75" s="100">
        <f t="shared" si="28"/>
        <v>0.3737005454564945</v>
      </c>
    </row>
    <row r="76" spans="1:32" ht="12.75">
      <c r="A76" s="106">
        <v>300</v>
      </c>
      <c r="B76" s="94">
        <f t="shared" si="13"/>
        <v>166.63341742868982</v>
      </c>
      <c r="C76" s="107">
        <f t="shared" si="14"/>
        <v>184.625981848889</v>
      </c>
      <c r="D76" s="85">
        <f t="shared" si="29"/>
        <v>184.625981848889</v>
      </c>
      <c r="E76" s="86">
        <f t="shared" si="15"/>
        <v>11.138669171361721</v>
      </c>
      <c r="F76" s="85">
        <f t="shared" si="16"/>
        <v>0</v>
      </c>
      <c r="G76" s="87">
        <f t="shared" si="17"/>
        <v>4.181606334919689</v>
      </c>
      <c r="H76" s="88">
        <f t="shared" si="30"/>
        <v>0.881126679306613</v>
      </c>
      <c r="I76" s="116">
        <f t="shared" si="18"/>
        <v>192.9746112186968</v>
      </c>
      <c r="J76" s="117"/>
      <c r="K76" s="107">
        <f t="shared" si="31"/>
        <v>322.42797134809416</v>
      </c>
      <c r="L76" s="85">
        <f t="shared" si="32"/>
        <v>492.85375796915866</v>
      </c>
      <c r="M76" s="86">
        <f t="shared" si="20"/>
        <v>116.51218551219739</v>
      </c>
      <c r="N76" s="85">
        <f t="shared" si="21"/>
        <v>170.4257866210645</v>
      </c>
      <c r="O76" s="87">
        <f t="shared" si="22"/>
        <v>4.594685516985311</v>
      </c>
      <c r="P76" s="90">
        <f t="shared" si="33"/>
        <v>0.8560413648368185</v>
      </c>
      <c r="Q76" s="84">
        <f t="shared" si="34"/>
        <v>713.2106965377731</v>
      </c>
      <c r="R76" s="85">
        <f t="shared" si="35"/>
        <v>1337.1998366599837</v>
      </c>
      <c r="S76" s="85">
        <f t="shared" si="36"/>
        <v>1374.01894964404</v>
      </c>
      <c r="T76" s="85">
        <f t="shared" si="37"/>
        <v>2751.647973352588</v>
      </c>
      <c r="U76" s="85">
        <f t="shared" si="38"/>
        <v>3335.173139897896</v>
      </c>
      <c r="V76" s="85">
        <f t="shared" si="39"/>
        <v>783.6648754718635</v>
      </c>
      <c r="W76" s="85">
        <f t="shared" si="40"/>
        <v>1477.1396576890725</v>
      </c>
      <c r="X76" s="94">
        <f t="shared" si="41"/>
        <v>1483.654102404151</v>
      </c>
      <c r="Y76" s="97">
        <f t="shared" si="42"/>
        <v>37.71052293247315</v>
      </c>
      <c r="Z76" s="75">
        <f t="shared" si="24"/>
        <v>37.71052293244119</v>
      </c>
      <c r="AA76" s="96">
        <f t="shared" si="25"/>
        <v>42.64017115785564</v>
      </c>
      <c r="AB76" s="94">
        <f t="shared" si="26"/>
        <v>112.28947706752686</v>
      </c>
      <c r="AC76" s="101">
        <f t="shared" si="43"/>
        <v>135.24477298405662</v>
      </c>
      <c r="AD76" s="85">
        <f t="shared" si="44"/>
        <v>2.043567740511703</v>
      </c>
      <c r="AE76" s="102">
        <f t="shared" si="45"/>
        <v>309.8745978025837</v>
      </c>
      <c r="AF76" s="103">
        <f t="shared" si="28"/>
        <v>0.3703776509396142</v>
      </c>
    </row>
    <row r="77" spans="4:16" ht="12.75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9" ht="12.75">
      <c r="B79" s="2" t="s">
        <v>297</v>
      </c>
    </row>
    <row r="80" ht="12.75">
      <c r="B80" s="2" t="s">
        <v>298</v>
      </c>
    </row>
    <row r="82" ht="12.75">
      <c r="B82" s="2" t="s">
        <v>299</v>
      </c>
    </row>
    <row r="85" ht="12.75"/>
    <row r="86" ht="12.75"/>
    <row r="87" ht="12.75"/>
  </sheetData>
  <sheetProtection/>
  <mergeCells count="63">
    <mergeCell ref="I45:J45"/>
    <mergeCell ref="I44:J44"/>
    <mergeCell ref="I43:J43"/>
    <mergeCell ref="I20:J20"/>
    <mergeCell ref="I36:J36"/>
    <mergeCell ref="I34:J34"/>
    <mergeCell ref="I38:J38"/>
    <mergeCell ref="I37:J37"/>
    <mergeCell ref="I30:J30"/>
    <mergeCell ref="I22:J22"/>
    <mergeCell ref="I53:J53"/>
    <mergeCell ref="I52:J52"/>
    <mergeCell ref="I51:J51"/>
    <mergeCell ref="I50:J50"/>
    <mergeCell ref="I49:J49"/>
    <mergeCell ref="I48:J48"/>
    <mergeCell ref="I47:J47"/>
    <mergeCell ref="I46:J46"/>
    <mergeCell ref="I35:J35"/>
    <mergeCell ref="I33:J33"/>
    <mergeCell ref="I32:J32"/>
    <mergeCell ref="I31:J31"/>
    <mergeCell ref="I42:J42"/>
    <mergeCell ref="I41:J41"/>
    <mergeCell ref="I40:J40"/>
    <mergeCell ref="I39:J39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73:J73"/>
    <mergeCell ref="I74:J74"/>
    <mergeCell ref="I75:J75"/>
    <mergeCell ref="I68:J68"/>
    <mergeCell ref="I69:J69"/>
    <mergeCell ref="I70:J70"/>
    <mergeCell ref="I71:J71"/>
    <mergeCell ref="I72:J72"/>
    <mergeCell ref="I23:J23"/>
    <mergeCell ref="I24:J24"/>
    <mergeCell ref="I25:J25"/>
    <mergeCell ref="I76:J76"/>
    <mergeCell ref="I55:J55"/>
    <mergeCell ref="I26:J26"/>
    <mergeCell ref="I27:J27"/>
    <mergeCell ref="I28:J28"/>
    <mergeCell ref="I29:J29"/>
    <mergeCell ref="I54:J54"/>
    <mergeCell ref="A20:B20"/>
    <mergeCell ref="I21:J21"/>
    <mergeCell ref="Q20:X20"/>
    <mergeCell ref="Y20:AB20"/>
    <mergeCell ref="AC20:AF20"/>
    <mergeCell ref="K20:P20"/>
    <mergeCell ref="C20:H20"/>
  </mergeCells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MSDraw" shapeId="253220" r:id="rId1"/>
    <oleObject progId="Equation.3" shapeId="186260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.57421875" style="0" customWidth="1"/>
    <col min="2" max="2" width="21.00390625" style="0" customWidth="1"/>
    <col min="5" max="5" width="4.7109375" style="0" customWidth="1"/>
    <col min="6" max="6" width="20.7109375" style="0" customWidth="1"/>
  </cols>
  <sheetData>
    <row r="1" ht="18">
      <c r="B1" s="6" t="s">
        <v>219</v>
      </c>
    </row>
    <row r="2" spans="2:4" s="2" customFormat="1" ht="12.75">
      <c r="B2" s="9" t="s">
        <v>145</v>
      </c>
      <c r="D2" s="9" t="s">
        <v>146</v>
      </c>
    </row>
    <row r="3" spans="2:9" s="2" customFormat="1" ht="12.75">
      <c r="B3" s="9" t="s">
        <v>147</v>
      </c>
      <c r="D3" s="9" t="s">
        <v>217</v>
      </c>
      <c r="H3" s="1"/>
      <c r="I3" s="1"/>
    </row>
    <row r="4" spans="2:10" ht="12.75">
      <c r="B4" s="26" t="s">
        <v>148</v>
      </c>
      <c r="D4" s="9" t="s">
        <v>211</v>
      </c>
      <c r="H4" s="1"/>
      <c r="I4" s="1"/>
      <c r="J4" s="2"/>
    </row>
    <row r="5" spans="2:10" ht="12.75">
      <c r="B5" s="27"/>
      <c r="H5" s="1"/>
      <c r="I5" s="1"/>
      <c r="J5" s="2"/>
    </row>
    <row r="6" spans="2:8" ht="12.75">
      <c r="B6" s="28" t="s">
        <v>149</v>
      </c>
      <c r="C6" s="23"/>
      <c r="D6" s="23"/>
      <c r="E6" s="23"/>
      <c r="F6" s="28" t="s">
        <v>150</v>
      </c>
      <c r="G6" s="23"/>
      <c r="H6" s="23"/>
    </row>
    <row r="7" spans="1:9" ht="12.75">
      <c r="A7" s="7"/>
      <c r="B7" s="35" t="s">
        <v>176</v>
      </c>
      <c r="C7" s="36">
        <v>100</v>
      </c>
      <c r="D7" s="37" t="s">
        <v>179</v>
      </c>
      <c r="E7" s="23"/>
      <c r="F7" s="35" t="s">
        <v>186</v>
      </c>
      <c r="G7" s="39">
        <v>12.57</v>
      </c>
      <c r="H7" s="37" t="s">
        <v>151</v>
      </c>
      <c r="I7" s="7"/>
    </row>
    <row r="8" spans="1:9" ht="12.75">
      <c r="A8" s="7"/>
      <c r="B8" s="3" t="s">
        <v>188</v>
      </c>
      <c r="C8" s="29">
        <f>psat_t(C7)</f>
        <v>1.0141797792131013</v>
      </c>
      <c r="D8" s="5" t="s">
        <v>151</v>
      </c>
      <c r="E8" s="23"/>
      <c r="F8" s="3" t="s">
        <v>187</v>
      </c>
      <c r="G8" s="30">
        <f>Tsat_p(G7)</f>
        <v>190.0720101494847</v>
      </c>
      <c r="H8" s="5" t="s">
        <v>179</v>
      </c>
      <c r="I8" s="7"/>
    </row>
    <row r="9" spans="1:9" ht="12.75">
      <c r="A9" s="7"/>
      <c r="B9" s="4" t="s">
        <v>152</v>
      </c>
      <c r="C9" s="7"/>
      <c r="D9" s="5"/>
      <c r="F9" s="4" t="s">
        <v>152</v>
      </c>
      <c r="G9" s="7"/>
      <c r="H9" s="5"/>
      <c r="I9" s="7"/>
    </row>
    <row r="10" spans="1:9" ht="12.75">
      <c r="A10" s="7"/>
      <c r="B10" s="3" t="s">
        <v>175</v>
      </c>
      <c r="C10" s="31">
        <f>hL_T(C7)</f>
        <v>419.0991549977031</v>
      </c>
      <c r="D10" s="5" t="s">
        <v>171</v>
      </c>
      <c r="E10" s="23"/>
      <c r="F10" s="3" t="s">
        <v>175</v>
      </c>
      <c r="G10" s="31">
        <f>hL_p(G7)</f>
        <v>807.8871391616062</v>
      </c>
      <c r="H10" s="5" t="s">
        <v>171</v>
      </c>
      <c r="I10" s="7"/>
    </row>
    <row r="11" spans="1:9" ht="12.75">
      <c r="A11" s="7"/>
      <c r="B11" s="3" t="s">
        <v>181</v>
      </c>
      <c r="C11" s="30">
        <f>rhoL_T(C7)</f>
        <v>958.3542772858901</v>
      </c>
      <c r="D11" s="5" t="s">
        <v>177</v>
      </c>
      <c r="E11" s="23"/>
      <c r="F11" s="3" t="s">
        <v>181</v>
      </c>
      <c r="G11" s="30">
        <f>rhoL_P(G7)</f>
        <v>876.003690639728</v>
      </c>
      <c r="H11" s="5" t="s">
        <v>177</v>
      </c>
      <c r="I11" s="7"/>
    </row>
    <row r="12" spans="1:9" ht="12.75">
      <c r="A12" s="7"/>
      <c r="B12" s="3" t="s">
        <v>153</v>
      </c>
      <c r="C12" s="30">
        <f>sL_T(C7)</f>
        <v>1.3070143278413395</v>
      </c>
      <c r="D12" s="5" t="s">
        <v>218</v>
      </c>
      <c r="E12" s="23"/>
      <c r="F12" s="3" t="s">
        <v>153</v>
      </c>
      <c r="G12" s="30">
        <f>sL_p(G7)</f>
        <v>2.236468987670497</v>
      </c>
      <c r="H12" s="5" t="s">
        <v>218</v>
      </c>
      <c r="I12" s="7"/>
    </row>
    <row r="13" spans="1:9" ht="12.75">
      <c r="A13" s="7"/>
      <c r="B13" s="32" t="s">
        <v>154</v>
      </c>
      <c r="C13" s="7"/>
      <c r="D13" s="5"/>
      <c r="F13" s="32" t="s">
        <v>154</v>
      </c>
      <c r="G13" s="7"/>
      <c r="H13" s="5"/>
      <c r="I13" s="7"/>
    </row>
    <row r="14" spans="1:9" ht="12.75">
      <c r="A14" s="7"/>
      <c r="B14" s="3" t="s">
        <v>155</v>
      </c>
      <c r="C14" s="31">
        <f>hV_T(C7)</f>
        <v>2675.5720292208343</v>
      </c>
      <c r="D14" s="5" t="s">
        <v>171</v>
      </c>
      <c r="E14" s="23"/>
      <c r="F14" s="3" t="s">
        <v>155</v>
      </c>
      <c r="G14" s="31">
        <f>hV_p(G7)</f>
        <v>2785.3645430359766</v>
      </c>
      <c r="H14" s="5" t="s">
        <v>171</v>
      </c>
      <c r="I14" s="7"/>
    </row>
    <row r="15" spans="1:9" ht="12.75">
      <c r="A15" s="7"/>
      <c r="B15" s="3" t="s">
        <v>156</v>
      </c>
      <c r="C15" s="30">
        <f>rhoV_T(C7)</f>
        <v>0.5981359925257029</v>
      </c>
      <c r="D15" s="5" t="s">
        <v>177</v>
      </c>
      <c r="E15" s="23"/>
      <c r="F15" s="3" t="s">
        <v>156</v>
      </c>
      <c r="G15" s="30">
        <f>rhoV_p(G7)</f>
        <v>6.404508204942752</v>
      </c>
      <c r="H15" s="5" t="s">
        <v>177</v>
      </c>
      <c r="I15" s="7"/>
    </row>
    <row r="16" spans="1:9" ht="12.75">
      <c r="A16" s="7"/>
      <c r="B16" s="3" t="s">
        <v>157</v>
      </c>
      <c r="C16" s="30">
        <f>sV_T(C7)</f>
        <v>7.354077050958405</v>
      </c>
      <c r="D16" s="5" t="s">
        <v>218</v>
      </c>
      <c r="E16" s="23"/>
      <c r="F16" s="3" t="s">
        <v>158</v>
      </c>
      <c r="G16" s="30">
        <f>sV_p(G7)</f>
        <v>6.505449765074675</v>
      </c>
      <c r="H16" s="5" t="s">
        <v>218</v>
      </c>
      <c r="I16" s="7"/>
    </row>
    <row r="17" spans="1:9" ht="12.75">
      <c r="A17" s="7"/>
      <c r="B17" s="19" t="s">
        <v>159</v>
      </c>
      <c r="C17" s="33">
        <f>C14-C10</f>
        <v>2256.4728742231314</v>
      </c>
      <c r="D17" s="21" t="s">
        <v>171</v>
      </c>
      <c r="E17" s="23"/>
      <c r="F17" s="19" t="s">
        <v>159</v>
      </c>
      <c r="G17" s="33">
        <f>G14-G10</f>
        <v>1977.4774038743703</v>
      </c>
      <c r="H17" s="21" t="s">
        <v>171</v>
      </c>
      <c r="I17" s="7"/>
    </row>
    <row r="18" spans="1:9" ht="12.75">
      <c r="A18" s="7"/>
      <c r="I18" s="7"/>
    </row>
    <row r="19" spans="1:9" ht="12.75">
      <c r="A19" s="7"/>
      <c r="B19" s="28" t="s">
        <v>160</v>
      </c>
      <c r="C19" s="23"/>
      <c r="D19" s="23"/>
      <c r="E19" s="23"/>
      <c r="F19" s="28" t="s">
        <v>161</v>
      </c>
      <c r="G19" s="23"/>
      <c r="H19" s="23"/>
      <c r="I19" s="7"/>
    </row>
    <row r="20" spans="1:9" ht="12.75">
      <c r="A20" s="7"/>
      <c r="B20" s="35" t="s">
        <v>186</v>
      </c>
      <c r="C20" s="36">
        <v>1</v>
      </c>
      <c r="D20" s="37" t="s">
        <v>151</v>
      </c>
      <c r="E20" s="23"/>
      <c r="F20" s="35" t="s">
        <v>186</v>
      </c>
      <c r="G20" s="36">
        <v>12.57</v>
      </c>
      <c r="H20" s="37" t="s">
        <v>151</v>
      </c>
      <c r="I20" s="7"/>
    </row>
    <row r="21" spans="1:9" ht="12.75">
      <c r="A21" s="7"/>
      <c r="B21" s="17" t="s">
        <v>176</v>
      </c>
      <c r="C21" s="38">
        <v>20</v>
      </c>
      <c r="D21" s="18" t="s">
        <v>179</v>
      </c>
      <c r="E21" s="7"/>
      <c r="F21" s="17" t="s">
        <v>175</v>
      </c>
      <c r="G21" s="38">
        <v>2788</v>
      </c>
      <c r="H21" s="18" t="s">
        <v>171</v>
      </c>
      <c r="I21" s="7"/>
    </row>
    <row r="22" spans="1:9" ht="12.75">
      <c r="A22" s="7"/>
      <c r="B22" s="3" t="s">
        <v>175</v>
      </c>
      <c r="C22" s="31">
        <f>h_pt(C20,C21)</f>
        <v>84.01181116713623</v>
      </c>
      <c r="D22" s="5" t="s">
        <v>171</v>
      </c>
      <c r="E22" s="7"/>
      <c r="F22" s="3" t="s">
        <v>176</v>
      </c>
      <c r="G22" s="31">
        <f>T_ph(G20,G21)</f>
        <v>190.99878517007232</v>
      </c>
      <c r="H22" s="5" t="s">
        <v>179</v>
      </c>
      <c r="I22" s="7"/>
    </row>
    <row r="23" spans="1:9" ht="12.75">
      <c r="A23" s="7"/>
      <c r="B23" s="3" t="s">
        <v>181</v>
      </c>
      <c r="C23" s="30">
        <f>rho_pT(C20,C21)</f>
        <v>998.2054863776968</v>
      </c>
      <c r="D23" s="5" t="s">
        <v>177</v>
      </c>
      <c r="E23" s="7"/>
      <c r="F23" s="3" t="s">
        <v>181</v>
      </c>
      <c r="G23" s="30">
        <f>rho_ph(G20,G21)</f>
        <v>6.385541555488601</v>
      </c>
      <c r="H23" s="5" t="s">
        <v>177</v>
      </c>
      <c r="I23" s="7"/>
    </row>
    <row r="24" spans="1:9" ht="12.75">
      <c r="A24" s="7"/>
      <c r="B24" s="3" t="s">
        <v>153</v>
      </c>
      <c r="C24" s="30">
        <f>s_pT(C20,C21)</f>
        <v>0.2964829208064101</v>
      </c>
      <c r="D24" s="5" t="s">
        <v>218</v>
      </c>
      <c r="E24" s="7"/>
      <c r="F24" s="3" t="s">
        <v>153</v>
      </c>
      <c r="G24" s="30">
        <f>s_ph(G20,G21)</f>
        <v>6.5111125817764135</v>
      </c>
      <c r="H24" s="5" t="s">
        <v>218</v>
      </c>
      <c r="I24" s="7"/>
    </row>
    <row r="25" spans="1:9" ht="12.75">
      <c r="A25" s="7"/>
      <c r="B25" s="22" t="s">
        <v>206</v>
      </c>
      <c r="C25">
        <f>x_ph(C20,C22)*100</f>
        <v>0</v>
      </c>
      <c r="D25" s="24" t="s">
        <v>208</v>
      </c>
      <c r="F25" s="22" t="s">
        <v>206</v>
      </c>
      <c r="G25">
        <f>x_ph(G20,G21)*100</f>
        <v>100</v>
      </c>
      <c r="H25" s="24" t="s">
        <v>208</v>
      </c>
      <c r="I25" s="7"/>
    </row>
    <row r="26" spans="1:9" ht="12.75">
      <c r="A26" s="7"/>
      <c r="B26" s="3" t="s">
        <v>162</v>
      </c>
      <c r="C26" s="7">
        <f>region_pt(C20/10,C21+273.15)</f>
        <v>1</v>
      </c>
      <c r="D26" s="5"/>
      <c r="E26" s="7"/>
      <c r="F26" s="3" t="s">
        <v>162</v>
      </c>
      <c r="G26" s="7">
        <f>region_ph(G20/10,G21)</f>
        <v>2</v>
      </c>
      <c r="H26" s="5"/>
      <c r="I26" s="7"/>
    </row>
    <row r="27" spans="1:9" ht="12.75">
      <c r="A27" s="7"/>
      <c r="B27" s="3" t="s">
        <v>163</v>
      </c>
      <c r="C27" s="34" t="str">
        <f>IF(C26=2,"Steam",IF(C26=1,"Liquid",IF(C26=4,"Mixture","")))</f>
        <v>Liquid</v>
      </c>
      <c r="D27" s="5"/>
      <c r="E27" s="7"/>
      <c r="F27" s="3" t="s">
        <v>163</v>
      </c>
      <c r="G27" s="34" t="str">
        <f>IF(G26=2,"Steam",IF(G26=1,"Liquid",IF(G26=4,"Mixture","")))</f>
        <v>Steam</v>
      </c>
      <c r="H27" s="5"/>
      <c r="I27" s="7"/>
    </row>
    <row r="28" spans="2:8" ht="12.75">
      <c r="B28" s="3" t="s">
        <v>164</v>
      </c>
      <c r="C28" s="7">
        <f>Cp_pT(C20,C21)</f>
        <v>4.18479822130853</v>
      </c>
      <c r="D28" s="5" t="s">
        <v>171</v>
      </c>
      <c r="F28" s="3" t="s">
        <v>164</v>
      </c>
      <c r="G28" s="7">
        <f>Cp_ph(G20,G21)</f>
        <v>2.819479422450438</v>
      </c>
      <c r="H28" s="5" t="s">
        <v>171</v>
      </c>
    </row>
    <row r="29" spans="2:8" ht="12.75">
      <c r="B29" s="19" t="s">
        <v>165</v>
      </c>
      <c r="C29" s="20">
        <f>w_pT(C20,C21)</f>
        <v>1483.4167663120188</v>
      </c>
      <c r="D29" s="21" t="s">
        <v>174</v>
      </c>
      <c r="F29" s="19" t="s">
        <v>165</v>
      </c>
      <c r="G29" s="20">
        <f>w_ph(G20,G21)</f>
        <v>503.5512171420585</v>
      </c>
      <c r="H29" s="21" t="s">
        <v>174</v>
      </c>
    </row>
  </sheetData>
  <sheetProtection/>
  <hyperlinks>
    <hyperlink ref="B4" r:id="rId1" display="www.x-eng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outlinePr summaryBelow="0"/>
  </sheetPr>
  <dimension ref="A1:M150"/>
  <sheetViews>
    <sheetView zoomScalePageLayoutView="0" workbookViewId="0" topLeftCell="A1">
      <selection activeCell="I8" sqref="I8"/>
    </sheetView>
  </sheetViews>
  <sheetFormatPr defaultColWidth="9.140625" defaultRowHeight="12.75" outlineLevelRow="1"/>
  <cols>
    <col min="1" max="1" width="24.140625" style="0" customWidth="1"/>
    <col min="2" max="2" width="4.7109375" style="0" customWidth="1"/>
    <col min="3" max="3" width="7.7109375" style="0" customWidth="1"/>
    <col min="4" max="4" width="4.7109375" style="0" customWidth="1"/>
    <col min="5" max="5" width="8.28125" style="0" customWidth="1"/>
    <col min="6" max="6" width="10.421875" style="1" bestFit="1" customWidth="1"/>
    <col min="7" max="7" width="9.140625" style="1" customWidth="1"/>
    <col min="8" max="8" width="7.57421875" style="2" customWidth="1"/>
  </cols>
  <sheetData>
    <row r="1" spans="1:7" s="14" customFormat="1" ht="18">
      <c r="A1" s="6" t="s">
        <v>219</v>
      </c>
      <c r="D1" s="2" t="s">
        <v>0</v>
      </c>
      <c r="E1" s="15" t="s">
        <v>220</v>
      </c>
      <c r="F1" s="6"/>
      <c r="G1" s="6"/>
    </row>
    <row r="2" s="11" customFormat="1" ht="11.25">
      <c r="A2" s="11" t="s">
        <v>221</v>
      </c>
    </row>
    <row r="3" s="9" customFormat="1" ht="11.25">
      <c r="A3" s="9" t="s">
        <v>142</v>
      </c>
    </row>
    <row r="4" spans="1:6" s="9" customFormat="1" ht="11.25">
      <c r="A4" s="9" t="s">
        <v>143</v>
      </c>
      <c r="F4" s="16" t="s">
        <v>223</v>
      </c>
    </row>
    <row r="5" s="9" customFormat="1" ht="11.25">
      <c r="A5" s="9" t="s">
        <v>217</v>
      </c>
    </row>
    <row r="6" spans="1:7" ht="12.75">
      <c r="A6" s="11" t="s">
        <v>211</v>
      </c>
      <c r="B6" s="2"/>
      <c r="C6" s="2"/>
      <c r="D6" s="2"/>
      <c r="E6" s="2"/>
      <c r="F6" s="2"/>
      <c r="G6" s="2"/>
    </row>
    <row r="7" spans="1:7" ht="12.75">
      <c r="A7" s="11"/>
      <c r="B7" s="2"/>
      <c r="C7" s="2"/>
      <c r="D7" s="2"/>
      <c r="E7" s="2"/>
      <c r="F7" s="2"/>
      <c r="G7" s="2"/>
    </row>
    <row r="8" spans="1:7" s="13" customFormat="1" ht="15">
      <c r="A8" s="25" t="s">
        <v>176</v>
      </c>
      <c r="F8" s="12"/>
      <c r="G8" s="12"/>
    </row>
    <row r="9" spans="1:8" s="9" customFormat="1" ht="12.75" outlineLevel="1">
      <c r="A9" s="1" t="s">
        <v>26</v>
      </c>
      <c r="B9" s="2">
        <v>1</v>
      </c>
      <c r="C9" s="2" t="s">
        <v>178</v>
      </c>
      <c r="D9" s="2"/>
      <c r="E9" s="2"/>
      <c r="F9" s="1">
        <f>Tsat_p(B9)</f>
        <v>99.60591861133764</v>
      </c>
      <c r="G9" s="1" t="s">
        <v>179</v>
      </c>
      <c r="H9" s="2" t="s">
        <v>187</v>
      </c>
    </row>
    <row r="10" spans="1:8" s="9" customFormat="1" ht="12.75" outlineLevel="1">
      <c r="A10" s="1" t="s">
        <v>25</v>
      </c>
      <c r="B10" s="2">
        <v>1</v>
      </c>
      <c r="C10" s="2" t="s">
        <v>178</v>
      </c>
      <c r="D10" s="2">
        <v>100</v>
      </c>
      <c r="E10" s="2" t="s">
        <v>171</v>
      </c>
      <c r="F10" s="1">
        <f>T_ph(B10,D10)</f>
        <v>23.844819075324835</v>
      </c>
      <c r="G10" s="1" t="s">
        <v>179</v>
      </c>
      <c r="H10" s="2" t="s">
        <v>212</v>
      </c>
    </row>
    <row r="11" spans="1:8" s="9" customFormat="1" ht="12.75" outlineLevel="1">
      <c r="A11" s="1" t="s">
        <v>27</v>
      </c>
      <c r="B11" s="2">
        <v>1</v>
      </c>
      <c r="C11" s="2" t="s">
        <v>178</v>
      </c>
      <c r="D11" s="2">
        <v>1</v>
      </c>
      <c r="E11" s="2" t="s">
        <v>173</v>
      </c>
      <c r="F11" s="1">
        <f>T_ps(B11,D11)</f>
        <v>73.70859421440866</v>
      </c>
      <c r="G11" s="1" t="s">
        <v>179</v>
      </c>
      <c r="H11" s="2" t="s">
        <v>213</v>
      </c>
    </row>
    <row r="12" spans="1:8" s="9" customFormat="1" ht="12.75" outlineLevel="1">
      <c r="A12" s="1" t="s">
        <v>24</v>
      </c>
      <c r="B12" s="2">
        <v>100</v>
      </c>
      <c r="C12" s="2" t="s">
        <v>171</v>
      </c>
      <c r="D12" s="2">
        <v>0.2</v>
      </c>
      <c r="E12" s="2" t="s">
        <v>173</v>
      </c>
      <c r="F12" s="1">
        <f>T_hs(B12,D12)</f>
        <v>13.849335111872563</v>
      </c>
      <c r="G12" s="1" t="s">
        <v>179</v>
      </c>
      <c r="H12" s="2" t="s">
        <v>227</v>
      </c>
    </row>
    <row r="13" spans="1:7" s="13" customFormat="1" ht="15">
      <c r="A13" s="25" t="s">
        <v>186</v>
      </c>
      <c r="F13" s="12"/>
      <c r="G13" s="12"/>
    </row>
    <row r="14" spans="1:8" s="9" customFormat="1" ht="12.75" outlineLevel="1">
      <c r="A14" s="1" t="s">
        <v>23</v>
      </c>
      <c r="B14" s="2">
        <v>100</v>
      </c>
      <c r="C14" s="2" t="s">
        <v>179</v>
      </c>
      <c r="D14" s="2"/>
      <c r="E14" s="2"/>
      <c r="F14" s="1">
        <f>psat_t(B14)</f>
        <v>1.0141797792131013</v>
      </c>
      <c r="G14" s="1" t="s">
        <v>178</v>
      </c>
      <c r="H14" s="2" t="s">
        <v>188</v>
      </c>
    </row>
    <row r="15" spans="1:8" s="9" customFormat="1" ht="12.75" outlineLevel="1">
      <c r="A15" s="1" t="s">
        <v>22</v>
      </c>
      <c r="B15" s="2">
        <v>84</v>
      </c>
      <c r="C15" s="2" t="s">
        <v>171</v>
      </c>
      <c r="D15" s="2">
        <v>0.296</v>
      </c>
      <c r="E15" s="2" t="s">
        <v>173</v>
      </c>
      <c r="F15" s="1">
        <f>p_hs(B15,D15)</f>
        <v>2.295498269280914</v>
      </c>
      <c r="G15" s="1" t="s">
        <v>178</v>
      </c>
      <c r="H15" s="2" t="s">
        <v>222</v>
      </c>
    </row>
    <row r="16" spans="1:8" s="9" customFormat="1" ht="12.75" outlineLevel="1">
      <c r="A16" s="1" t="s">
        <v>21</v>
      </c>
      <c r="B16" s="2">
        <v>2000</v>
      </c>
      <c r="C16" s="2" t="s">
        <v>171</v>
      </c>
      <c r="D16" s="2">
        <v>5</v>
      </c>
      <c r="E16" s="2" t="s">
        <v>177</v>
      </c>
      <c r="F16" s="1">
        <f>p_hrho(B16,D16)</f>
        <v>6.0464690304783115</v>
      </c>
      <c r="G16" s="1" t="s">
        <v>178</v>
      </c>
      <c r="H16" s="2" t="s">
        <v>3</v>
      </c>
    </row>
    <row r="17" spans="1:7" s="13" customFormat="1" ht="15">
      <c r="A17" s="25" t="s">
        <v>175</v>
      </c>
      <c r="F17" s="12"/>
      <c r="G17" s="12"/>
    </row>
    <row r="18" spans="1:8" s="9" customFormat="1" ht="12.75" outlineLevel="1">
      <c r="A18" s="1" t="s">
        <v>28</v>
      </c>
      <c r="B18" s="2">
        <v>1</v>
      </c>
      <c r="C18" s="2" t="s">
        <v>178</v>
      </c>
      <c r="D18" s="2"/>
      <c r="E18" s="2"/>
      <c r="F18" s="1">
        <f>hV_p(B18)</f>
        <v>2674.949640832146</v>
      </c>
      <c r="G18" s="1" t="s">
        <v>171</v>
      </c>
      <c r="H18" s="2" t="s">
        <v>190</v>
      </c>
    </row>
    <row r="19" spans="1:8" s="9" customFormat="1" ht="12.75" outlineLevel="1">
      <c r="A19" s="1" t="s">
        <v>29</v>
      </c>
      <c r="B19" s="2">
        <v>1</v>
      </c>
      <c r="C19" s="2" t="s">
        <v>178</v>
      </c>
      <c r="D19" s="2"/>
      <c r="E19" s="2"/>
      <c r="F19" s="1">
        <f>hL_p(B19)</f>
        <v>417.4364858162317</v>
      </c>
      <c r="G19" s="1" t="s">
        <v>171</v>
      </c>
      <c r="H19" s="2" t="s">
        <v>195</v>
      </c>
    </row>
    <row r="20" spans="1:8" s="9" customFormat="1" ht="12.75" outlineLevel="1">
      <c r="A20" s="1" t="s">
        <v>30</v>
      </c>
      <c r="B20" s="2">
        <v>100</v>
      </c>
      <c r="C20" s="2" t="s">
        <v>179</v>
      </c>
      <c r="D20" s="2"/>
      <c r="E20" s="2"/>
      <c r="F20" s="1">
        <f>hV_T(B20)</f>
        <v>2675.5720292208343</v>
      </c>
      <c r="G20" s="1" t="s">
        <v>171</v>
      </c>
      <c r="H20" s="2" t="s">
        <v>190</v>
      </c>
    </row>
    <row r="21" spans="1:8" s="9" customFormat="1" ht="12.75" outlineLevel="1">
      <c r="A21" s="1" t="s">
        <v>31</v>
      </c>
      <c r="B21" s="2">
        <v>100</v>
      </c>
      <c r="C21" s="2" t="s">
        <v>179</v>
      </c>
      <c r="D21" s="2"/>
      <c r="E21" s="2"/>
      <c r="F21" s="1">
        <f>hL_T(B21)</f>
        <v>419.0991549977031</v>
      </c>
      <c r="G21" s="1" t="s">
        <v>171</v>
      </c>
      <c r="H21" s="2" t="s">
        <v>195</v>
      </c>
    </row>
    <row r="22" spans="1:8" s="9" customFormat="1" ht="12.75" outlineLevel="1">
      <c r="A22" s="1" t="s">
        <v>32</v>
      </c>
      <c r="B22" s="2">
        <v>1</v>
      </c>
      <c r="C22" s="2" t="s">
        <v>178</v>
      </c>
      <c r="D22" s="2">
        <v>20</v>
      </c>
      <c r="E22" s="2" t="s">
        <v>179</v>
      </c>
      <c r="F22" s="1">
        <f>h_pt(B22,D22)</f>
        <v>84.01181116713623</v>
      </c>
      <c r="G22" s="1" t="s">
        <v>171</v>
      </c>
      <c r="H22" s="2" t="s">
        <v>214</v>
      </c>
    </row>
    <row r="23" spans="1:8" s="9" customFormat="1" ht="12.75" outlineLevel="1">
      <c r="A23" s="1" t="s">
        <v>33</v>
      </c>
      <c r="B23" s="2">
        <v>1</v>
      </c>
      <c r="C23" s="2" t="s">
        <v>178</v>
      </c>
      <c r="D23" s="2">
        <v>1</v>
      </c>
      <c r="E23" s="2" t="s">
        <v>173</v>
      </c>
      <c r="F23" s="1">
        <f>h_ps(B23,D23)</f>
        <v>308.61071708294634</v>
      </c>
      <c r="G23" s="1" t="s">
        <v>171</v>
      </c>
      <c r="H23" s="2" t="s">
        <v>215</v>
      </c>
    </row>
    <row r="24" spans="1:8" s="9" customFormat="1" ht="12.75" outlineLevel="1">
      <c r="A24" s="1" t="s">
        <v>34</v>
      </c>
      <c r="B24" s="2">
        <v>1</v>
      </c>
      <c r="C24" s="2" t="s">
        <v>178</v>
      </c>
      <c r="D24" s="2">
        <v>0.5</v>
      </c>
      <c r="E24" s="2"/>
      <c r="F24" s="1">
        <f>h_px(B24,D24)</f>
        <v>1546.1930633241889</v>
      </c>
      <c r="G24" s="1" t="s">
        <v>171</v>
      </c>
      <c r="H24" s="2" t="s">
        <v>225</v>
      </c>
    </row>
    <row r="25" spans="1:8" s="9" customFormat="1" ht="12.75" outlineLevel="1">
      <c r="A25" s="1" t="s">
        <v>35</v>
      </c>
      <c r="B25" s="2">
        <v>100</v>
      </c>
      <c r="C25" s="2" t="s">
        <v>179</v>
      </c>
      <c r="D25" s="2">
        <v>0.5</v>
      </c>
      <c r="E25" s="2"/>
      <c r="F25" s="1">
        <f>h_tx(B25,D25)</f>
        <v>1547.3355921092686</v>
      </c>
      <c r="G25" s="1" t="s">
        <v>171</v>
      </c>
      <c r="H25" s="2" t="s">
        <v>226</v>
      </c>
    </row>
    <row r="26" spans="1:8" s="9" customFormat="1" ht="12.75" outlineLevel="1">
      <c r="A26" s="1" t="s">
        <v>36</v>
      </c>
      <c r="B26" s="2">
        <v>1</v>
      </c>
      <c r="C26" s="2" t="s">
        <v>178</v>
      </c>
      <c r="D26" s="2">
        <v>2</v>
      </c>
      <c r="E26" s="2" t="s">
        <v>177</v>
      </c>
      <c r="F26" s="1">
        <f>h_prho(B26,D26)</f>
        <v>1082.7733907600204</v>
      </c>
      <c r="G26" s="1" t="s">
        <v>171</v>
      </c>
      <c r="H26" s="2" t="s">
        <v>144</v>
      </c>
    </row>
    <row r="27" spans="1:7" s="13" customFormat="1" ht="15">
      <c r="A27" s="25" t="s">
        <v>189</v>
      </c>
      <c r="F27" s="12"/>
      <c r="G27" s="12"/>
    </row>
    <row r="28" spans="1:8" s="9" customFormat="1" ht="12.75" outlineLevel="1">
      <c r="A28" s="1" t="s">
        <v>37</v>
      </c>
      <c r="B28" s="2">
        <v>1</v>
      </c>
      <c r="C28" s="2" t="s">
        <v>178</v>
      </c>
      <c r="D28" s="2"/>
      <c r="E28" s="2"/>
      <c r="F28" s="1">
        <f>vV_p(B28)</f>
        <v>1.6940225229026846</v>
      </c>
      <c r="G28" s="1" t="s">
        <v>172</v>
      </c>
      <c r="H28" s="2" t="s">
        <v>191</v>
      </c>
    </row>
    <row r="29" spans="1:8" s="9" customFormat="1" ht="12.75" outlineLevel="1">
      <c r="A29" s="1" t="s">
        <v>38</v>
      </c>
      <c r="B29" s="2">
        <v>1</v>
      </c>
      <c r="C29" s="2" t="s">
        <v>178</v>
      </c>
      <c r="D29" s="2"/>
      <c r="E29" s="2"/>
      <c r="F29" s="1">
        <f>vL_p(B29)</f>
        <v>0.0010431478391551838</v>
      </c>
      <c r="G29" s="1" t="s">
        <v>172</v>
      </c>
      <c r="H29" s="2" t="s">
        <v>196</v>
      </c>
    </row>
    <row r="30" spans="1:8" s="9" customFormat="1" ht="12.75" outlineLevel="1">
      <c r="A30" s="1" t="s">
        <v>39</v>
      </c>
      <c r="B30" s="2">
        <v>100</v>
      </c>
      <c r="C30" s="2" t="s">
        <v>179</v>
      </c>
      <c r="D30" s="2"/>
      <c r="E30" s="2"/>
      <c r="F30" s="1">
        <f>vV_T(B30)</f>
        <v>1.6718606010940367</v>
      </c>
      <c r="G30" s="1" t="s">
        <v>172</v>
      </c>
      <c r="H30" s="2" t="s">
        <v>191</v>
      </c>
    </row>
    <row r="31" spans="1:8" s="9" customFormat="1" ht="12.75" outlineLevel="1">
      <c r="A31" s="1" t="s">
        <v>40</v>
      </c>
      <c r="B31" s="2">
        <v>100</v>
      </c>
      <c r="C31" s="2" t="s">
        <v>179</v>
      </c>
      <c r="D31" s="2"/>
      <c r="E31" s="2"/>
      <c r="F31" s="1">
        <f>vL_T(B31)</f>
        <v>0.001043455456610527</v>
      </c>
      <c r="G31" s="1" t="s">
        <v>172</v>
      </c>
      <c r="H31" s="2" t="s">
        <v>196</v>
      </c>
    </row>
    <row r="32" spans="1:8" s="9" customFormat="1" ht="12.75" outlineLevel="1">
      <c r="A32" s="1" t="s">
        <v>41</v>
      </c>
      <c r="B32" s="2">
        <v>1</v>
      </c>
      <c r="C32" s="2" t="s">
        <v>178</v>
      </c>
      <c r="D32" s="2">
        <v>100</v>
      </c>
      <c r="E32" s="2" t="s">
        <v>179</v>
      </c>
      <c r="F32" s="1">
        <f>v_pT(B32,D32)</f>
        <v>1.6959594073982218</v>
      </c>
      <c r="G32" s="1" t="s">
        <v>172</v>
      </c>
      <c r="H32" s="2" t="s">
        <v>228</v>
      </c>
    </row>
    <row r="33" spans="1:8" s="9" customFormat="1" ht="12.75" outlineLevel="1">
      <c r="A33" s="1" t="s">
        <v>42</v>
      </c>
      <c r="B33" s="2">
        <v>1</v>
      </c>
      <c r="C33" s="2" t="s">
        <v>178</v>
      </c>
      <c r="D33" s="2">
        <v>1000</v>
      </c>
      <c r="E33" s="2" t="s">
        <v>171</v>
      </c>
      <c r="F33" s="1">
        <f>v_ph(B33,D33)</f>
        <v>0.43792565812986356</v>
      </c>
      <c r="G33" s="1" t="s">
        <v>172</v>
      </c>
      <c r="H33" s="2" t="s">
        <v>229</v>
      </c>
    </row>
    <row r="34" spans="1:8" s="9" customFormat="1" ht="12.75" outlineLevel="1">
      <c r="A34" s="1" t="s">
        <v>43</v>
      </c>
      <c r="B34" s="2">
        <v>1</v>
      </c>
      <c r="C34" s="2" t="s">
        <v>178</v>
      </c>
      <c r="D34" s="2">
        <v>5</v>
      </c>
      <c r="E34" s="2" t="s">
        <v>173</v>
      </c>
      <c r="F34" s="1">
        <f>v_ps(B34,D34)</f>
        <v>1.0346353901862877</v>
      </c>
      <c r="G34" s="1" t="s">
        <v>172</v>
      </c>
      <c r="H34" s="2" t="s">
        <v>230</v>
      </c>
    </row>
    <row r="35" spans="1:7" s="13" customFormat="1" ht="15">
      <c r="A35" s="25" t="s">
        <v>181</v>
      </c>
      <c r="F35" s="12"/>
      <c r="G35" s="12"/>
    </row>
    <row r="36" spans="1:8" s="9" customFormat="1" ht="12.75" outlineLevel="1">
      <c r="A36" s="1" t="s">
        <v>44</v>
      </c>
      <c r="B36" s="2">
        <v>1</v>
      </c>
      <c r="C36" s="2" t="s">
        <v>178</v>
      </c>
      <c r="D36" s="2"/>
      <c r="E36" s="2"/>
      <c r="F36" s="1">
        <f>rhoV_p(B36)</f>
        <v>0.5903109235445781</v>
      </c>
      <c r="G36" s="1" t="s">
        <v>177</v>
      </c>
      <c r="H36" s="2" t="s">
        <v>192</v>
      </c>
    </row>
    <row r="37" spans="1:8" s="9" customFormat="1" ht="12.75" outlineLevel="1">
      <c r="A37" s="1" t="s">
        <v>45</v>
      </c>
      <c r="B37" s="2">
        <v>1</v>
      </c>
      <c r="C37" s="2" t="s">
        <v>178</v>
      </c>
      <c r="D37" s="2"/>
      <c r="E37" s="2"/>
      <c r="F37" s="1">
        <f>rhoL_P(B37)</f>
        <v>958.6368896760329</v>
      </c>
      <c r="G37" s="1" t="s">
        <v>177</v>
      </c>
      <c r="H37" s="2" t="s">
        <v>197</v>
      </c>
    </row>
    <row r="38" spans="1:8" s="9" customFormat="1" ht="12.75" outlineLevel="1">
      <c r="A38" s="1" t="s">
        <v>46</v>
      </c>
      <c r="B38" s="2">
        <v>100</v>
      </c>
      <c r="C38" s="2" t="s">
        <v>179</v>
      </c>
      <c r="D38" s="2"/>
      <c r="E38" s="2"/>
      <c r="F38" s="1">
        <f>rhoV_T(B38)</f>
        <v>0.5981359925257029</v>
      </c>
      <c r="G38" s="1" t="s">
        <v>177</v>
      </c>
      <c r="H38" s="2" t="s">
        <v>192</v>
      </c>
    </row>
    <row r="39" spans="1:8" s="9" customFormat="1" ht="12.75" outlineLevel="1">
      <c r="A39" s="1" t="s">
        <v>47</v>
      </c>
      <c r="B39" s="2">
        <v>100</v>
      </c>
      <c r="C39" s="2" t="s">
        <v>179</v>
      </c>
      <c r="D39" s="2"/>
      <c r="E39" s="2"/>
      <c r="F39" s="1">
        <f>rhoL_T(B39)</f>
        <v>958.3542772858901</v>
      </c>
      <c r="G39" s="1" t="s">
        <v>177</v>
      </c>
      <c r="H39" s="2" t="s">
        <v>197</v>
      </c>
    </row>
    <row r="40" spans="1:8" s="9" customFormat="1" ht="12.75" outlineLevel="1">
      <c r="A40" s="1" t="s">
        <v>48</v>
      </c>
      <c r="B40" s="2">
        <v>1</v>
      </c>
      <c r="C40" s="2" t="s">
        <v>178</v>
      </c>
      <c r="D40" s="2">
        <v>100</v>
      </c>
      <c r="E40" s="2" t="s">
        <v>179</v>
      </c>
      <c r="F40" s="1">
        <f>rho_pT(B40,D40)</f>
        <v>0.5896367540624714</v>
      </c>
      <c r="G40" s="1" t="s">
        <v>177</v>
      </c>
      <c r="H40" s="2" t="s">
        <v>231</v>
      </c>
    </row>
    <row r="41" spans="1:8" s="9" customFormat="1" ht="12.75" outlineLevel="1">
      <c r="A41" s="1" t="s">
        <v>49</v>
      </c>
      <c r="B41" s="2">
        <v>1</v>
      </c>
      <c r="C41" s="2" t="s">
        <v>178</v>
      </c>
      <c r="D41" s="2">
        <v>1000</v>
      </c>
      <c r="E41" s="2" t="s">
        <v>171</v>
      </c>
      <c r="F41" s="1">
        <f>rho_ph(B41,D41)</f>
        <v>2.283492600708629</v>
      </c>
      <c r="G41" s="1" t="s">
        <v>177</v>
      </c>
      <c r="H41" s="2" t="s">
        <v>232</v>
      </c>
    </row>
    <row r="42" spans="1:8" s="9" customFormat="1" ht="12.75" outlineLevel="1">
      <c r="A42" s="1" t="s">
        <v>50</v>
      </c>
      <c r="B42" s="2">
        <v>1</v>
      </c>
      <c r="C42" s="2" t="s">
        <v>178</v>
      </c>
      <c r="D42" s="2">
        <v>1</v>
      </c>
      <c r="E42" s="2" t="s">
        <v>173</v>
      </c>
      <c r="F42" s="1">
        <f>rho_ps(B42,D42)</f>
        <v>975.6236788482324</v>
      </c>
      <c r="G42" s="1" t="s">
        <v>177</v>
      </c>
      <c r="H42" s="2" t="s">
        <v>233</v>
      </c>
    </row>
    <row r="43" spans="1:7" s="13" customFormat="1" ht="15">
      <c r="A43" s="25" t="s">
        <v>180</v>
      </c>
      <c r="F43" s="12"/>
      <c r="G43" s="12"/>
    </row>
    <row r="44" spans="1:8" s="9" customFormat="1" ht="12.75" outlineLevel="1">
      <c r="A44" s="1" t="s">
        <v>51</v>
      </c>
      <c r="B44" s="2">
        <v>0.006117</v>
      </c>
      <c r="C44" s="2" t="s">
        <v>178</v>
      </c>
      <c r="D44" s="2"/>
      <c r="E44" s="2"/>
      <c r="F44" s="1">
        <f>sV_p(B44)</f>
        <v>9.155465555713246</v>
      </c>
      <c r="G44" s="1" t="s">
        <v>173</v>
      </c>
      <c r="H44" s="2" t="s">
        <v>193</v>
      </c>
    </row>
    <row r="45" spans="1:8" s="9" customFormat="1" ht="12.75" outlineLevel="1">
      <c r="A45" s="1" t="s">
        <v>52</v>
      </c>
      <c r="B45" s="2">
        <v>0.0061171</v>
      </c>
      <c r="C45" s="2" t="s">
        <v>178</v>
      </c>
      <c r="D45" s="2"/>
      <c r="E45" s="2"/>
      <c r="F45" s="1">
        <f>sL_p(B45)</f>
        <v>1.8359025119632E-05</v>
      </c>
      <c r="G45" s="1" t="s">
        <v>173</v>
      </c>
      <c r="H45" s="2" t="s">
        <v>198</v>
      </c>
    </row>
    <row r="46" spans="1:8" s="9" customFormat="1" ht="12.75" outlineLevel="1">
      <c r="A46" s="1" t="s">
        <v>53</v>
      </c>
      <c r="B46" s="2">
        <v>0.0001</v>
      </c>
      <c r="C46" s="2" t="s">
        <v>179</v>
      </c>
      <c r="D46" s="2"/>
      <c r="E46" s="2"/>
      <c r="F46" s="1">
        <f>sV_T(B46)</f>
        <v>9.155756715885586</v>
      </c>
      <c r="G46" s="1" t="s">
        <v>173</v>
      </c>
      <c r="H46" s="2" t="s">
        <v>193</v>
      </c>
    </row>
    <row r="47" spans="1:8" s="9" customFormat="1" ht="12.75" outlineLevel="1">
      <c r="A47" s="1" t="s">
        <v>54</v>
      </c>
      <c r="B47" s="2">
        <v>100</v>
      </c>
      <c r="C47" s="2" t="s">
        <v>179</v>
      </c>
      <c r="D47" s="2"/>
      <c r="E47" s="2"/>
      <c r="F47" s="1">
        <f>sL_T(B47)</f>
        <v>1.3070143278413395</v>
      </c>
      <c r="G47" s="1" t="s">
        <v>173</v>
      </c>
      <c r="H47" s="2" t="s">
        <v>198</v>
      </c>
    </row>
    <row r="48" spans="1:8" s="9" customFormat="1" ht="12.75" outlineLevel="1">
      <c r="A48" s="1" t="s">
        <v>55</v>
      </c>
      <c r="B48" s="2">
        <v>1</v>
      </c>
      <c r="C48" s="2" t="s">
        <v>178</v>
      </c>
      <c r="D48" s="2">
        <v>20</v>
      </c>
      <c r="E48" s="2" t="s">
        <v>179</v>
      </c>
      <c r="F48" s="1">
        <f>s_pT(B48,D48)</f>
        <v>0.2964829208064101</v>
      </c>
      <c r="G48" s="1" t="s">
        <v>173</v>
      </c>
      <c r="H48" s="2" t="s">
        <v>128</v>
      </c>
    </row>
    <row r="49" spans="1:8" s="9" customFormat="1" ht="12.75" outlineLevel="1">
      <c r="A49" s="1" t="s">
        <v>56</v>
      </c>
      <c r="B49" s="2">
        <v>1</v>
      </c>
      <c r="C49" s="2" t="s">
        <v>178</v>
      </c>
      <c r="D49" s="2">
        <f>F22</f>
        <v>84.01181116713623</v>
      </c>
      <c r="E49" s="2" t="s">
        <v>171</v>
      </c>
      <c r="F49" s="1">
        <f>s_ph(B49,D49)</f>
        <v>0.2968138446764294</v>
      </c>
      <c r="G49" s="1" t="s">
        <v>173</v>
      </c>
      <c r="H49" s="2" t="s">
        <v>234</v>
      </c>
    </row>
    <row r="50" spans="1:7" s="13" customFormat="1" ht="15">
      <c r="A50" s="25" t="s">
        <v>182</v>
      </c>
      <c r="F50" s="12"/>
      <c r="G50" s="12"/>
    </row>
    <row r="51" spans="1:8" s="9" customFormat="1" ht="12.75" outlineLevel="1">
      <c r="A51" s="1" t="s">
        <v>57</v>
      </c>
      <c r="B51" s="2">
        <v>1</v>
      </c>
      <c r="C51" s="2" t="s">
        <v>178</v>
      </c>
      <c r="D51" s="2"/>
      <c r="E51" s="2"/>
      <c r="F51" s="1">
        <f>uV_p(B51)</f>
        <v>2505.547388541878</v>
      </c>
      <c r="G51" s="1" t="s">
        <v>171</v>
      </c>
      <c r="H51" s="2" t="s">
        <v>194</v>
      </c>
    </row>
    <row r="52" spans="1:8" s="9" customFormat="1" ht="12.75" outlineLevel="1">
      <c r="A52" s="1" t="s">
        <v>58</v>
      </c>
      <c r="B52" s="2">
        <v>1</v>
      </c>
      <c r="C52" s="2" t="s">
        <v>178</v>
      </c>
      <c r="D52" s="2"/>
      <c r="E52" s="2"/>
      <c r="F52" s="1">
        <f>uL_p(B52)</f>
        <v>417.3321710323162</v>
      </c>
      <c r="G52" s="1" t="s">
        <v>171</v>
      </c>
      <c r="H52" s="2" t="s">
        <v>199</v>
      </c>
    </row>
    <row r="53" spans="1:8" s="9" customFormat="1" ht="12.75" outlineLevel="1">
      <c r="A53" s="1" t="s">
        <v>59</v>
      </c>
      <c r="B53" s="2">
        <v>100</v>
      </c>
      <c r="C53" s="2" t="s">
        <v>179</v>
      </c>
      <c r="D53" s="2"/>
      <c r="E53" s="2"/>
      <c r="F53" s="1">
        <f>uV_T(B53)</f>
        <v>2506.015307691571</v>
      </c>
      <c r="G53" s="1" t="s">
        <v>171</v>
      </c>
      <c r="H53" s="2" t="s">
        <v>194</v>
      </c>
    </row>
    <row r="54" spans="1:8" s="9" customFormat="1" ht="12.75" outlineLevel="1">
      <c r="A54" s="1" t="s">
        <v>60</v>
      </c>
      <c r="B54" s="2">
        <v>100</v>
      </c>
      <c r="C54" s="2" t="s">
        <v>179</v>
      </c>
      <c r="D54" s="2"/>
      <c r="E54" s="2"/>
      <c r="F54" s="1">
        <f>uL_T(B54)</f>
        <v>418.9933298552427</v>
      </c>
      <c r="G54" s="1" t="s">
        <v>171</v>
      </c>
      <c r="H54" s="2" t="s">
        <v>199</v>
      </c>
    </row>
    <row r="55" spans="1:8" s="9" customFormat="1" ht="12.75" outlineLevel="1">
      <c r="A55" s="1" t="s">
        <v>61</v>
      </c>
      <c r="B55" s="2">
        <v>1</v>
      </c>
      <c r="C55" s="2" t="s">
        <v>178</v>
      </c>
      <c r="D55" s="2">
        <v>100</v>
      </c>
      <c r="E55" s="2" t="s">
        <v>179</v>
      </c>
      <c r="F55" s="1">
        <f>u_pT(B55,D55)</f>
        <v>2506.1714264660072</v>
      </c>
      <c r="G55" s="1" t="s">
        <v>171</v>
      </c>
      <c r="H55" s="2" t="s">
        <v>235</v>
      </c>
    </row>
    <row r="56" spans="1:8" s="9" customFormat="1" ht="12.75" outlineLevel="1">
      <c r="A56" s="1" t="s">
        <v>62</v>
      </c>
      <c r="B56" s="2">
        <v>1</v>
      </c>
      <c r="C56" s="2" t="s">
        <v>178</v>
      </c>
      <c r="D56" s="2">
        <v>1000</v>
      </c>
      <c r="E56" s="2" t="s">
        <v>171</v>
      </c>
      <c r="F56" s="1">
        <f>u_ph(B56,D56)</f>
        <v>956.2074341870137</v>
      </c>
      <c r="G56" s="1" t="s">
        <v>171</v>
      </c>
      <c r="H56" s="2" t="s">
        <v>236</v>
      </c>
    </row>
    <row r="57" spans="1:8" s="9" customFormat="1" ht="12.75" outlineLevel="1">
      <c r="A57" s="1" t="s">
        <v>63</v>
      </c>
      <c r="B57" s="2">
        <v>1</v>
      </c>
      <c r="C57" s="2" t="s">
        <v>178</v>
      </c>
      <c r="D57" s="2">
        <v>1</v>
      </c>
      <c r="E57" s="2" t="s">
        <v>173</v>
      </c>
      <c r="F57" s="1">
        <f>u_ps(B57,D57)</f>
        <v>308.50821854568443</v>
      </c>
      <c r="G57" s="1" t="s">
        <v>171</v>
      </c>
      <c r="H57" s="2" t="s">
        <v>237</v>
      </c>
    </row>
    <row r="58" spans="1:7" s="13" customFormat="1" ht="15">
      <c r="A58" s="25" t="s">
        <v>183</v>
      </c>
      <c r="F58" s="12"/>
      <c r="G58" s="12"/>
    </row>
    <row r="59" spans="1:8" s="9" customFormat="1" ht="12.75" outlineLevel="1">
      <c r="A59" s="1" t="s">
        <v>64</v>
      </c>
      <c r="B59" s="2">
        <v>1</v>
      </c>
      <c r="C59" s="2" t="s">
        <v>178</v>
      </c>
      <c r="D59" s="2"/>
      <c r="E59" s="2"/>
      <c r="F59" s="1">
        <f>CpV_p(B59)</f>
        <v>2.0759380252044393</v>
      </c>
      <c r="G59" s="1" t="s">
        <v>224</v>
      </c>
      <c r="H59" s="2" t="s">
        <v>201</v>
      </c>
    </row>
    <row r="60" spans="1:8" s="9" customFormat="1" ht="12.75" outlineLevel="1">
      <c r="A60" s="1" t="s">
        <v>65</v>
      </c>
      <c r="B60" s="2">
        <v>1</v>
      </c>
      <c r="C60" s="2" t="s">
        <v>178</v>
      </c>
      <c r="D60" s="2"/>
      <c r="E60" s="2"/>
      <c r="F60" s="1">
        <f>CpL_p(B60)</f>
        <v>4.2161494308387475</v>
      </c>
      <c r="G60" s="1" t="s">
        <v>224</v>
      </c>
      <c r="H60" s="2" t="s">
        <v>200</v>
      </c>
    </row>
    <row r="61" spans="1:8" s="9" customFormat="1" ht="12.75" outlineLevel="1">
      <c r="A61" s="1" t="s">
        <v>66</v>
      </c>
      <c r="B61" s="2">
        <v>100</v>
      </c>
      <c r="C61" s="2" t="s">
        <v>179</v>
      </c>
      <c r="D61" s="2"/>
      <c r="E61" s="2"/>
      <c r="F61" s="1">
        <f>CpV_T(B61)</f>
        <v>2.0774918684822654</v>
      </c>
      <c r="G61" s="1" t="s">
        <v>224</v>
      </c>
      <c r="H61" s="2" t="s">
        <v>201</v>
      </c>
    </row>
    <row r="62" spans="1:8" s="9" customFormat="1" ht="12.75" outlineLevel="1">
      <c r="A62" s="1" t="s">
        <v>67</v>
      </c>
      <c r="B62" s="2">
        <v>100</v>
      </c>
      <c r="C62" s="2" t="s">
        <v>179</v>
      </c>
      <c r="D62" s="2"/>
      <c r="E62" s="2"/>
      <c r="F62" s="1">
        <f>CpL_T(B62)</f>
        <v>4.2166451189235845</v>
      </c>
      <c r="G62" s="1" t="s">
        <v>224</v>
      </c>
      <c r="H62" s="2" t="s">
        <v>200</v>
      </c>
    </row>
    <row r="63" spans="1:8" s="9" customFormat="1" ht="12.75" outlineLevel="1">
      <c r="A63" s="1" t="s">
        <v>68</v>
      </c>
      <c r="B63" s="2">
        <v>1</v>
      </c>
      <c r="C63" s="2" t="s">
        <v>178</v>
      </c>
      <c r="D63" s="2">
        <v>100</v>
      </c>
      <c r="E63" s="2" t="s">
        <v>179</v>
      </c>
      <c r="F63" s="1">
        <f>Cp_pT(B63,D63)</f>
        <v>2.0741085545801092</v>
      </c>
      <c r="G63" s="1" t="s">
        <v>224</v>
      </c>
      <c r="H63" s="2" t="s">
        <v>238</v>
      </c>
    </row>
    <row r="64" spans="1:8" s="9" customFormat="1" ht="12.75" outlineLevel="1">
      <c r="A64" s="1" t="s">
        <v>69</v>
      </c>
      <c r="B64" s="2">
        <v>1</v>
      </c>
      <c r="C64" s="2" t="s">
        <v>178</v>
      </c>
      <c r="D64" s="2">
        <v>200</v>
      </c>
      <c r="E64" s="2" t="s">
        <v>171</v>
      </c>
      <c r="F64" s="1">
        <f>Cp_ph(B64,D64)</f>
        <v>4.179135731688021</v>
      </c>
      <c r="G64" s="1" t="s">
        <v>224</v>
      </c>
      <c r="H64" s="2" t="s">
        <v>239</v>
      </c>
    </row>
    <row r="65" spans="1:8" s="9" customFormat="1" ht="12.75" outlineLevel="1">
      <c r="A65" s="1" t="s">
        <v>70</v>
      </c>
      <c r="B65" s="2">
        <v>1</v>
      </c>
      <c r="C65" s="2" t="s">
        <v>178</v>
      </c>
      <c r="D65" s="2">
        <v>1</v>
      </c>
      <c r="E65" s="2" t="s">
        <v>173</v>
      </c>
      <c r="F65" s="1">
        <f>Cp_ps(B65,D65)</f>
        <v>4.190607037901294</v>
      </c>
      <c r="G65" s="1" t="s">
        <v>224</v>
      </c>
      <c r="H65" s="2" t="s">
        <v>240</v>
      </c>
    </row>
    <row r="66" spans="1:7" s="13" customFormat="1" ht="15">
      <c r="A66" s="25" t="s">
        <v>185</v>
      </c>
      <c r="F66" s="12"/>
      <c r="G66" s="12"/>
    </row>
    <row r="67" spans="1:8" s="9" customFormat="1" ht="12.75" outlineLevel="1">
      <c r="A67" s="1" t="s">
        <v>71</v>
      </c>
      <c r="B67" s="2">
        <v>1</v>
      </c>
      <c r="C67" s="2" t="s">
        <v>178</v>
      </c>
      <c r="D67" s="2"/>
      <c r="E67" s="2"/>
      <c r="F67" s="1">
        <f>CvV_p(B67)</f>
        <v>1.5526969793308025</v>
      </c>
      <c r="G67" s="1" t="s">
        <v>224</v>
      </c>
      <c r="H67" s="2" t="s">
        <v>203</v>
      </c>
    </row>
    <row r="68" spans="1:8" s="9" customFormat="1" ht="12.75" outlineLevel="1">
      <c r="A68" s="1" t="s">
        <v>72</v>
      </c>
      <c r="B68" s="2">
        <v>1</v>
      </c>
      <c r="C68" s="2" t="s">
        <v>178</v>
      </c>
      <c r="D68" s="2"/>
      <c r="E68" s="2"/>
      <c r="F68" s="1">
        <f>CvL_p(B68)</f>
        <v>3.7696996827334974</v>
      </c>
      <c r="G68" s="1" t="s">
        <v>224</v>
      </c>
      <c r="H68" s="2" t="s">
        <v>202</v>
      </c>
    </row>
    <row r="69" spans="1:8" s="9" customFormat="1" ht="12.75" outlineLevel="1">
      <c r="A69" s="1" t="s">
        <v>73</v>
      </c>
      <c r="B69" s="2">
        <v>100</v>
      </c>
      <c r="C69" s="2" t="s">
        <v>179</v>
      </c>
      <c r="D69" s="2"/>
      <c r="E69" s="2"/>
      <c r="F69" s="1">
        <f>CvV_T(B69)</f>
        <v>1.5536986960345103</v>
      </c>
      <c r="G69" s="1" t="s">
        <v>224</v>
      </c>
      <c r="H69" s="2" t="s">
        <v>203</v>
      </c>
    </row>
    <row r="70" spans="1:8" s="9" customFormat="1" ht="12.75" outlineLevel="1">
      <c r="A70" s="1" t="s">
        <v>74</v>
      </c>
      <c r="B70" s="2">
        <v>100</v>
      </c>
      <c r="C70" s="2" t="s">
        <v>179</v>
      </c>
      <c r="D70" s="2"/>
      <c r="E70" s="2"/>
      <c r="F70" s="1">
        <f>CvL_T(B70)</f>
        <v>3.7677002201427507</v>
      </c>
      <c r="G70" s="1" t="s">
        <v>224</v>
      </c>
      <c r="H70" s="2" t="s">
        <v>202</v>
      </c>
    </row>
    <row r="71" spans="1:8" s="9" customFormat="1" ht="12.75" outlineLevel="1">
      <c r="A71" s="1" t="s">
        <v>75</v>
      </c>
      <c r="B71" s="2">
        <v>1</v>
      </c>
      <c r="C71" s="2" t="s">
        <v>178</v>
      </c>
      <c r="D71" s="2">
        <v>100</v>
      </c>
      <c r="E71" s="2" t="s">
        <v>179</v>
      </c>
      <c r="F71" s="1">
        <f>Cv_pT(B71,D71)</f>
        <v>1.5513972494644879</v>
      </c>
      <c r="G71" s="1" t="s">
        <v>224</v>
      </c>
      <c r="H71" s="2" t="s">
        <v>241</v>
      </c>
    </row>
    <row r="72" spans="1:8" s="9" customFormat="1" ht="12.75" outlineLevel="1">
      <c r="A72" s="1" t="s">
        <v>76</v>
      </c>
      <c r="B72" s="2">
        <v>1</v>
      </c>
      <c r="C72" s="2" t="s">
        <v>178</v>
      </c>
      <c r="D72" s="2">
        <v>200</v>
      </c>
      <c r="E72" s="2" t="s">
        <v>171</v>
      </c>
      <c r="F72" s="1">
        <f>Cv_ph(B72,D72)</f>
        <v>4.035176363579673</v>
      </c>
      <c r="G72" s="1" t="s">
        <v>224</v>
      </c>
      <c r="H72" s="2" t="s">
        <v>242</v>
      </c>
    </row>
    <row r="73" spans="1:8" s="9" customFormat="1" ht="12.75" outlineLevel="1">
      <c r="A73" s="1" t="s">
        <v>77</v>
      </c>
      <c r="B73" s="2">
        <v>1</v>
      </c>
      <c r="C73" s="2" t="s">
        <v>178</v>
      </c>
      <c r="D73" s="2">
        <v>1</v>
      </c>
      <c r="E73" s="2" t="s">
        <v>173</v>
      </c>
      <c r="F73" s="1">
        <f>Cv_ps(B73,D73)</f>
        <v>3.9029194681136645</v>
      </c>
      <c r="G73" s="1" t="s">
        <v>224</v>
      </c>
      <c r="H73" s="2" t="s">
        <v>243</v>
      </c>
    </row>
    <row r="74" spans="1:7" s="13" customFormat="1" ht="15">
      <c r="A74" s="25" t="s">
        <v>184</v>
      </c>
      <c r="F74" s="12"/>
      <c r="G74" s="12"/>
    </row>
    <row r="75" spans="1:8" s="9" customFormat="1" ht="12.75" outlineLevel="1">
      <c r="A75" s="1" t="s">
        <v>78</v>
      </c>
      <c r="B75" s="2">
        <v>1</v>
      </c>
      <c r="C75" s="2" t="s">
        <v>178</v>
      </c>
      <c r="D75" s="2"/>
      <c r="E75" s="2"/>
      <c r="F75" s="1">
        <f>wV_p(B75)</f>
        <v>472.0541571060476</v>
      </c>
      <c r="G75" s="1" t="s">
        <v>174</v>
      </c>
      <c r="H75" s="2" t="s">
        <v>205</v>
      </c>
    </row>
    <row r="76" spans="1:8" s="9" customFormat="1" ht="12.75" outlineLevel="1">
      <c r="A76" s="1" t="s">
        <v>79</v>
      </c>
      <c r="B76" s="2">
        <v>1</v>
      </c>
      <c r="C76" s="2" t="s">
        <v>178</v>
      </c>
      <c r="D76" s="2"/>
      <c r="E76" s="2"/>
      <c r="F76" s="1">
        <f>wL_p(B76)</f>
        <v>1545.4519475339648</v>
      </c>
      <c r="G76" s="1" t="s">
        <v>174</v>
      </c>
      <c r="H76" s="2" t="s">
        <v>204</v>
      </c>
    </row>
    <row r="77" spans="1:8" s="9" customFormat="1" ht="12.75" outlineLevel="1">
      <c r="A77" s="1" t="s">
        <v>80</v>
      </c>
      <c r="B77" s="2">
        <v>100</v>
      </c>
      <c r="C77" s="2" t="s">
        <v>179</v>
      </c>
      <c r="D77" s="2"/>
      <c r="E77" s="2"/>
      <c r="F77" s="1">
        <f>wV_T(B77)</f>
        <v>472.2559492389438</v>
      </c>
      <c r="G77" s="1" t="s">
        <v>174</v>
      </c>
      <c r="H77" s="2" t="s">
        <v>205</v>
      </c>
    </row>
    <row r="78" spans="1:8" s="9" customFormat="1" ht="12.75" outlineLevel="1">
      <c r="A78" s="1" t="s">
        <v>81</v>
      </c>
      <c r="B78" s="2">
        <v>100</v>
      </c>
      <c r="C78" s="2" t="s">
        <v>179</v>
      </c>
      <c r="D78" s="2"/>
      <c r="E78" s="2"/>
      <c r="F78" s="1">
        <f>wL_T(B78)</f>
        <v>1545.0922491938707</v>
      </c>
      <c r="G78" s="1" t="s">
        <v>174</v>
      </c>
      <c r="H78" s="2" t="s">
        <v>204</v>
      </c>
    </row>
    <row r="79" spans="1:8" s="9" customFormat="1" ht="12.75" outlineLevel="1">
      <c r="A79" s="1" t="s">
        <v>82</v>
      </c>
      <c r="B79" s="2">
        <v>1</v>
      </c>
      <c r="C79" s="2" t="s">
        <v>178</v>
      </c>
      <c r="D79" s="2">
        <v>100</v>
      </c>
      <c r="E79" s="2" t="s">
        <v>179</v>
      </c>
      <c r="F79" s="1">
        <f>w_pT(B79,D79)</f>
        <v>472.3375235248552</v>
      </c>
      <c r="G79" s="1" t="s">
        <v>174</v>
      </c>
      <c r="H79" s="2" t="s">
        <v>244</v>
      </c>
    </row>
    <row r="80" spans="1:8" s="9" customFormat="1" ht="12.75" outlineLevel="1">
      <c r="A80" s="1" t="s">
        <v>83</v>
      </c>
      <c r="B80" s="2">
        <v>1</v>
      </c>
      <c r="C80" s="2" t="s">
        <v>178</v>
      </c>
      <c r="D80" s="2">
        <v>200</v>
      </c>
      <c r="E80" s="2" t="s">
        <v>171</v>
      </c>
      <c r="F80" s="1">
        <f>w_ph(B80,D80)</f>
        <v>1542.6824750114695</v>
      </c>
      <c r="G80" s="1" t="s">
        <v>174</v>
      </c>
      <c r="H80" s="2" t="s">
        <v>245</v>
      </c>
    </row>
    <row r="81" spans="1:8" s="9" customFormat="1" ht="12.75" outlineLevel="1">
      <c r="A81" s="1" t="s">
        <v>84</v>
      </c>
      <c r="B81" s="2">
        <v>1</v>
      </c>
      <c r="C81" s="2" t="s">
        <v>178</v>
      </c>
      <c r="D81" s="2">
        <v>1</v>
      </c>
      <c r="E81" s="2" t="s">
        <v>173</v>
      </c>
      <c r="F81" s="1">
        <f>w_ps(B81,D81)</f>
        <v>1557.858535532216</v>
      </c>
      <c r="G81" s="1" t="s">
        <v>174</v>
      </c>
      <c r="H81" s="2" t="s">
        <v>114</v>
      </c>
    </row>
    <row r="82" spans="1:7" s="13" customFormat="1" ht="15">
      <c r="A82" s="25" t="s">
        <v>7</v>
      </c>
      <c r="F82" s="12"/>
      <c r="G82" s="12"/>
    </row>
    <row r="83" spans="1:7" s="9" customFormat="1" ht="11.25" outlineLevel="1">
      <c r="A83" s="9" t="s">
        <v>127</v>
      </c>
      <c r="F83" s="11"/>
      <c r="G83" s="11"/>
    </row>
    <row r="84" spans="1:7" s="9" customFormat="1" ht="11.25" outlineLevel="1">
      <c r="A84" s="9" t="s">
        <v>210</v>
      </c>
      <c r="F84" s="11"/>
      <c r="G84" s="11"/>
    </row>
    <row r="85" spans="1:8" s="9" customFormat="1" ht="12.75" outlineLevel="1">
      <c r="A85" s="1" t="s">
        <v>85</v>
      </c>
      <c r="B85" s="2">
        <v>1</v>
      </c>
      <c r="C85" s="2" t="s">
        <v>178</v>
      </c>
      <c r="D85" s="2">
        <v>100</v>
      </c>
      <c r="E85" s="2" t="s">
        <v>179</v>
      </c>
      <c r="F85" s="1">
        <f>my_pT(B85,D85)</f>
        <v>1.2270405707196506E-05</v>
      </c>
      <c r="G85" s="1" t="s">
        <v>207</v>
      </c>
      <c r="H85" s="2" t="s">
        <v>115</v>
      </c>
    </row>
    <row r="86" spans="1:8" s="9" customFormat="1" ht="12.75" outlineLevel="1">
      <c r="A86" s="1" t="s">
        <v>86</v>
      </c>
      <c r="B86" s="2">
        <v>1</v>
      </c>
      <c r="C86" s="2" t="s">
        <v>178</v>
      </c>
      <c r="D86" s="2">
        <v>100</v>
      </c>
      <c r="E86" s="2" t="s">
        <v>171</v>
      </c>
      <c r="F86" s="10">
        <f>my_ph(B86,D86)</f>
        <v>0.000914003770302108</v>
      </c>
      <c r="G86" s="1" t="s">
        <v>207</v>
      </c>
      <c r="H86" s="2" t="s">
        <v>116</v>
      </c>
    </row>
    <row r="87" spans="1:8" s="9" customFormat="1" ht="12.75" outlineLevel="1">
      <c r="A87" s="1" t="s">
        <v>87</v>
      </c>
      <c r="B87" s="2">
        <v>1</v>
      </c>
      <c r="C87" s="2" t="s">
        <v>178</v>
      </c>
      <c r="D87" s="2">
        <v>1</v>
      </c>
      <c r="E87" s="2" t="s">
        <v>173</v>
      </c>
      <c r="F87" s="10">
        <f>my_ps(B87,D87)</f>
        <v>0.00038422186564756434</v>
      </c>
      <c r="G87" s="1" t="s">
        <v>207</v>
      </c>
      <c r="H87" s="2" t="s">
        <v>117</v>
      </c>
    </row>
    <row r="88" spans="1:13" ht="18">
      <c r="A88" s="6" t="s">
        <v>2</v>
      </c>
      <c r="F88" s="10"/>
      <c r="H88" s="40"/>
      <c r="I88" s="7"/>
      <c r="J88" s="7"/>
      <c r="K88" s="7"/>
      <c r="L88" s="7"/>
      <c r="M88" s="7"/>
    </row>
    <row r="89" spans="1:13" ht="12.75" outlineLevel="1">
      <c r="A89" s="9" t="s">
        <v>8</v>
      </c>
      <c r="F89" s="10"/>
      <c r="H89" s="40"/>
      <c r="I89" s="7"/>
      <c r="J89" s="7"/>
      <c r="K89" s="7"/>
      <c r="L89" s="7"/>
      <c r="M89" s="7"/>
    </row>
    <row r="90" spans="1:13" ht="12.75" outlineLevel="1">
      <c r="A90" s="1" t="s">
        <v>88</v>
      </c>
      <c r="B90">
        <v>1</v>
      </c>
      <c r="C90" t="s">
        <v>178</v>
      </c>
      <c r="D90">
        <v>200</v>
      </c>
      <c r="E90" t="s">
        <v>179</v>
      </c>
      <c r="F90" s="10">
        <f>pr_pT(B90,D90)</f>
        <v>0.9578082143858805</v>
      </c>
      <c r="G90" s="1" t="s">
        <v>11</v>
      </c>
      <c r="H90" s="40"/>
      <c r="I90" s="7"/>
      <c r="J90" s="7"/>
      <c r="K90" s="7"/>
      <c r="L90" s="7"/>
      <c r="M90" s="7"/>
    </row>
    <row r="91" spans="1:13" ht="12.75" outlineLevel="1">
      <c r="A91" s="1" t="s">
        <v>89</v>
      </c>
      <c r="B91">
        <v>1</v>
      </c>
      <c r="C91" t="s">
        <v>178</v>
      </c>
      <c r="D91">
        <v>2875.4750649489024</v>
      </c>
      <c r="E91" t="s">
        <v>171</v>
      </c>
      <c r="F91" s="10">
        <f>pr_ph(B91,D91)</f>
        <v>0.9578082614835577</v>
      </c>
      <c r="G91" s="1" t="s">
        <v>11</v>
      </c>
      <c r="H91" s="40"/>
      <c r="I91" s="7"/>
      <c r="J91" s="7"/>
      <c r="K91" s="7"/>
      <c r="L91" s="7"/>
      <c r="M91" s="7"/>
    </row>
    <row r="92" spans="1:13" s="13" customFormat="1" ht="15">
      <c r="A92" s="25" t="s">
        <v>129</v>
      </c>
      <c r="F92" s="12"/>
      <c r="G92" s="12"/>
      <c r="H92" s="41"/>
      <c r="I92" s="41"/>
      <c r="J92" s="41"/>
      <c r="K92" s="41"/>
      <c r="L92" s="41"/>
      <c r="M92" s="41"/>
    </row>
    <row r="93" spans="1:7" s="9" customFormat="1" ht="11.25" outlineLevel="1">
      <c r="A93" s="9" t="s">
        <v>130</v>
      </c>
      <c r="F93" s="11"/>
      <c r="G93" s="11"/>
    </row>
    <row r="94" spans="1:8" s="9" customFormat="1" ht="12.75" outlineLevel="1">
      <c r="A94" s="1" t="s">
        <v>90</v>
      </c>
      <c r="B94" s="2">
        <v>100</v>
      </c>
      <c r="C94" s="2" t="s">
        <v>178</v>
      </c>
      <c r="D94" s="2"/>
      <c r="E94" s="2"/>
      <c r="F94" s="1">
        <f>tcL_p(B94)</f>
        <v>0.5245401945825722</v>
      </c>
      <c r="G94" s="1" t="s">
        <v>131</v>
      </c>
      <c r="H94" s="2" t="s">
        <v>132</v>
      </c>
    </row>
    <row r="95" spans="1:8" s="9" customFormat="1" ht="12.75" outlineLevel="1">
      <c r="A95" s="1" t="s">
        <v>91</v>
      </c>
      <c r="B95" s="2">
        <v>1</v>
      </c>
      <c r="C95" s="2" t="s">
        <v>178</v>
      </c>
      <c r="D95" s="2"/>
      <c r="E95" s="2"/>
      <c r="F95" s="1">
        <f>tcV_p(B95)</f>
        <v>0.024753667592350453</v>
      </c>
      <c r="G95" s="1" t="s">
        <v>131</v>
      </c>
      <c r="H95" s="2" t="s">
        <v>133</v>
      </c>
    </row>
    <row r="96" spans="1:8" s="9" customFormat="1" ht="12.75" outlineLevel="1">
      <c r="A96" s="1" t="s">
        <v>92</v>
      </c>
      <c r="B96" s="2">
        <v>100</v>
      </c>
      <c r="C96" s="2" t="s">
        <v>179</v>
      </c>
      <c r="D96" s="2"/>
      <c r="E96" s="2"/>
      <c r="F96" s="1">
        <f>tcL_T(B96)</f>
        <v>0.6777575115871504</v>
      </c>
      <c r="G96" s="1" t="s">
        <v>131</v>
      </c>
      <c r="H96" s="2" t="s">
        <v>132</v>
      </c>
    </row>
    <row r="97" spans="1:8" s="9" customFormat="1" ht="12.75" outlineLevel="1">
      <c r="A97" s="1" t="s">
        <v>93</v>
      </c>
      <c r="B97" s="2">
        <v>100</v>
      </c>
      <c r="C97" s="2" t="s">
        <v>179</v>
      </c>
      <c r="D97" s="2"/>
      <c r="E97" s="2"/>
      <c r="F97" s="1">
        <f>tcV_T(B97)</f>
        <v>0.024793871441017475</v>
      </c>
      <c r="G97" s="1" t="s">
        <v>131</v>
      </c>
      <c r="H97" s="2" t="s">
        <v>133</v>
      </c>
    </row>
    <row r="98" spans="1:8" s="9" customFormat="1" ht="12.75" outlineLevel="1">
      <c r="A98" s="1" t="s">
        <v>94</v>
      </c>
      <c r="B98" s="2">
        <v>100</v>
      </c>
      <c r="C98" s="2" t="s">
        <v>178</v>
      </c>
      <c r="D98" s="2">
        <v>350</v>
      </c>
      <c r="E98" s="2" t="s">
        <v>179</v>
      </c>
      <c r="F98" s="1">
        <f>tc_pt(B98,D98)</f>
        <v>0.06854530375253094</v>
      </c>
      <c r="G98" s="1" t="s">
        <v>131</v>
      </c>
      <c r="H98" s="2" t="s">
        <v>134</v>
      </c>
    </row>
    <row r="99" spans="1:8" s="9" customFormat="1" ht="12.75" outlineLevel="1">
      <c r="A99" s="1" t="s">
        <v>95</v>
      </c>
      <c r="B99" s="2">
        <v>1</v>
      </c>
      <c r="C99" s="2" t="s">
        <v>178</v>
      </c>
      <c r="D99" s="2">
        <v>350</v>
      </c>
      <c r="E99" s="2" t="s">
        <v>173</v>
      </c>
      <c r="F99" s="1">
        <f>tc_ph(B99,D99)</f>
        <v>0.6692963321574507</v>
      </c>
      <c r="G99" s="1" t="s">
        <v>131</v>
      </c>
      <c r="H99" s="2" t="s">
        <v>135</v>
      </c>
    </row>
    <row r="100" spans="1:8" s="9" customFormat="1" ht="12.75" outlineLevel="1">
      <c r="A100" s="1" t="s">
        <v>96</v>
      </c>
      <c r="B100" s="2">
        <v>100</v>
      </c>
      <c r="C100" s="2" t="s">
        <v>173</v>
      </c>
      <c r="D100" s="2">
        <v>0.34</v>
      </c>
      <c r="E100" s="2" t="s">
        <v>173</v>
      </c>
      <c r="F100" s="1">
        <f>tc_hs(B100,D100)</f>
        <v>0.6062831238489123</v>
      </c>
      <c r="G100" s="1" t="s">
        <v>131</v>
      </c>
      <c r="H100" s="2" t="s">
        <v>136</v>
      </c>
    </row>
    <row r="101" spans="1:8" s="9" customFormat="1" ht="15">
      <c r="A101" s="25" t="s">
        <v>137</v>
      </c>
      <c r="B101" s="2"/>
      <c r="C101" s="2"/>
      <c r="D101" s="2"/>
      <c r="E101" s="2"/>
      <c r="F101" s="1"/>
      <c r="G101" s="1"/>
      <c r="H101" s="2"/>
    </row>
    <row r="102" spans="1:7" s="9" customFormat="1" ht="11.25" outlineLevel="1">
      <c r="A102" s="9" t="s">
        <v>138</v>
      </c>
      <c r="F102" s="11"/>
      <c r="G102" s="11"/>
    </row>
    <row r="103" spans="1:8" s="9" customFormat="1" ht="12.75" outlineLevel="1">
      <c r="A103" s="1" t="s">
        <v>97</v>
      </c>
      <c r="B103" s="2">
        <v>100</v>
      </c>
      <c r="C103" s="2" t="s">
        <v>179</v>
      </c>
      <c r="D103" s="2"/>
      <c r="E103" s="2"/>
      <c r="F103" s="1">
        <f>st_T(B104)</f>
        <v>0.07550766158583765</v>
      </c>
      <c r="G103" s="1" t="s">
        <v>139</v>
      </c>
      <c r="H103" s="2" t="s">
        <v>141</v>
      </c>
    </row>
    <row r="104" spans="1:8" s="9" customFormat="1" ht="12.75" outlineLevel="1">
      <c r="A104" s="1" t="s">
        <v>98</v>
      </c>
      <c r="B104" s="2">
        <v>1</v>
      </c>
      <c r="C104" s="2" t="s">
        <v>178</v>
      </c>
      <c r="D104" s="2"/>
      <c r="E104" s="2"/>
      <c r="F104" s="1">
        <f>st_p(B104)</f>
        <v>0.05898778418085993</v>
      </c>
      <c r="G104" s="1" t="s">
        <v>139</v>
      </c>
      <c r="H104" s="2" t="s">
        <v>141</v>
      </c>
    </row>
    <row r="105" spans="1:7" s="13" customFormat="1" ht="15">
      <c r="A105" s="25" t="s">
        <v>206</v>
      </c>
      <c r="F105" s="12"/>
      <c r="G105" s="12"/>
    </row>
    <row r="106" spans="1:8" s="9" customFormat="1" ht="12.75" outlineLevel="1">
      <c r="A106" s="1" t="s">
        <v>99</v>
      </c>
      <c r="B106" s="2">
        <v>1</v>
      </c>
      <c r="C106" s="2" t="s">
        <v>178</v>
      </c>
      <c r="D106" s="2">
        <v>1000</v>
      </c>
      <c r="E106" s="2" t="s">
        <v>171</v>
      </c>
      <c r="F106" s="1">
        <f>x_ph(B106,D106)</f>
        <v>0.2580554239027952</v>
      </c>
      <c r="G106" s="1"/>
      <c r="H106" s="2" t="s">
        <v>118</v>
      </c>
    </row>
    <row r="107" spans="1:8" s="9" customFormat="1" ht="12.75" outlineLevel="1">
      <c r="A107" s="1" t="s">
        <v>100</v>
      </c>
      <c r="B107" s="2">
        <v>1</v>
      </c>
      <c r="C107" s="2" t="s">
        <v>178</v>
      </c>
      <c r="D107" s="2">
        <v>4</v>
      </c>
      <c r="E107" s="2" t="s">
        <v>173</v>
      </c>
      <c r="F107" s="1">
        <f>x_ps(B107,D107)</f>
        <v>0.4453979607323203</v>
      </c>
      <c r="G107" s="1"/>
      <c r="H107" s="2" t="s">
        <v>119</v>
      </c>
    </row>
    <row r="108" spans="1:7" s="13" customFormat="1" ht="15">
      <c r="A108" s="25" t="s">
        <v>126</v>
      </c>
      <c r="F108" s="12"/>
      <c r="G108" s="12"/>
    </row>
    <row r="109" spans="1:7" s="9" customFormat="1" ht="11.25" outlineLevel="1">
      <c r="A109" s="9" t="s">
        <v>216</v>
      </c>
      <c r="F109" s="11"/>
      <c r="G109" s="11"/>
    </row>
    <row r="110" spans="1:7" s="9" customFormat="1" ht="11.25" outlineLevel="1">
      <c r="A110" s="9" t="s">
        <v>209</v>
      </c>
      <c r="F110" s="11"/>
      <c r="G110" s="11"/>
    </row>
    <row r="111" spans="1:8" s="9" customFormat="1" ht="12.75" outlineLevel="1">
      <c r="A111" s="1" t="s">
        <v>101</v>
      </c>
      <c r="B111" s="2">
        <v>1</v>
      </c>
      <c r="C111" s="2" t="s">
        <v>178</v>
      </c>
      <c r="D111" s="2">
        <v>418</v>
      </c>
      <c r="E111" s="2" t="s">
        <v>171</v>
      </c>
      <c r="F111" s="8">
        <f>vx_ph(B111,D111)</f>
        <v>0.28849309343706725</v>
      </c>
      <c r="G111" s="1"/>
      <c r="H111" s="2" t="s">
        <v>120</v>
      </c>
    </row>
    <row r="112" spans="1:8" s="9" customFormat="1" ht="12.75" outlineLevel="1">
      <c r="A112" s="1" t="s">
        <v>102</v>
      </c>
      <c r="B112" s="2">
        <v>1</v>
      </c>
      <c r="C112" s="2" t="s">
        <v>178</v>
      </c>
      <c r="D112" s="2">
        <v>4</v>
      </c>
      <c r="E112" s="2" t="s">
        <v>173</v>
      </c>
      <c r="F112" s="8">
        <f>vx_ps(B112,D112)</f>
        <v>0.9992338266388803</v>
      </c>
      <c r="G112" s="1"/>
      <c r="H112" s="2" t="s">
        <v>121</v>
      </c>
    </row>
    <row r="113" spans="6:7" s="9" customFormat="1" ht="11.25">
      <c r="F113" s="11"/>
      <c r="G113" s="11"/>
    </row>
    <row r="114" ht="15">
      <c r="A114" s="25" t="s">
        <v>12</v>
      </c>
    </row>
    <row r="115" ht="12.75">
      <c r="A115" s="11" t="s">
        <v>113</v>
      </c>
    </row>
    <row r="116" ht="12.75">
      <c r="A116" s="9" t="s">
        <v>1</v>
      </c>
    </row>
    <row r="117" ht="12.75">
      <c r="A117" s="9" t="s">
        <v>112</v>
      </c>
    </row>
    <row r="118" ht="12.75">
      <c r="A118" s="11" t="s">
        <v>109</v>
      </c>
    </row>
    <row r="119" ht="12.75">
      <c r="A119" s="9" t="s">
        <v>111</v>
      </c>
    </row>
    <row r="120" ht="12.75">
      <c r="A120" s="9" t="s">
        <v>110</v>
      </c>
    </row>
    <row r="121" ht="12.75">
      <c r="A121" s="9" t="s">
        <v>108</v>
      </c>
    </row>
    <row r="122" ht="12.75">
      <c r="A122" s="11" t="s">
        <v>106</v>
      </c>
    </row>
    <row r="123" ht="12.75">
      <c r="A123" s="9" t="s">
        <v>107</v>
      </c>
    </row>
    <row r="124" ht="12.75">
      <c r="A124" s="11" t="s">
        <v>19</v>
      </c>
    </row>
    <row r="125" ht="12.75">
      <c r="A125" s="9" t="s">
        <v>105</v>
      </c>
    </row>
    <row r="126" ht="12.75">
      <c r="A126" s="9" t="s">
        <v>104</v>
      </c>
    </row>
    <row r="127" ht="10.5" customHeight="1">
      <c r="A127" s="9" t="s">
        <v>103</v>
      </c>
    </row>
    <row r="128" ht="11.25" customHeight="1">
      <c r="A128" s="9" t="s">
        <v>20</v>
      </c>
    </row>
    <row r="129" ht="11.25" customHeight="1">
      <c r="A129" s="11" t="s">
        <v>14</v>
      </c>
    </row>
    <row r="130" ht="12.75">
      <c r="A130" s="9" t="s">
        <v>17</v>
      </c>
    </row>
    <row r="131" ht="12.75">
      <c r="A131" s="9" t="s">
        <v>10</v>
      </c>
    </row>
    <row r="132" ht="12.75">
      <c r="A132" s="9" t="s">
        <v>15</v>
      </c>
    </row>
    <row r="133" ht="12.75">
      <c r="A133" s="9" t="s">
        <v>16</v>
      </c>
    </row>
    <row r="134" ht="12.75">
      <c r="A134" s="9" t="s">
        <v>18</v>
      </c>
    </row>
    <row r="135" ht="12.75">
      <c r="A135" s="11" t="s">
        <v>4</v>
      </c>
    </row>
    <row r="136" ht="12.75">
      <c r="A136" s="9" t="s">
        <v>10</v>
      </c>
    </row>
    <row r="137" ht="12.75">
      <c r="A137" s="9" t="s">
        <v>6</v>
      </c>
    </row>
    <row r="138" ht="12.75">
      <c r="A138" s="9" t="s">
        <v>5</v>
      </c>
    </row>
    <row r="139" ht="12.75">
      <c r="A139" s="9" t="s">
        <v>13</v>
      </c>
    </row>
    <row r="140" ht="12.75">
      <c r="A140" s="9" t="s">
        <v>9</v>
      </c>
    </row>
    <row r="141" ht="12.75">
      <c r="A141" s="11" t="s">
        <v>170</v>
      </c>
    </row>
    <row r="142" ht="12.75">
      <c r="A142" s="9" t="s">
        <v>166</v>
      </c>
    </row>
    <row r="143" ht="12.75">
      <c r="A143" s="9" t="s">
        <v>167</v>
      </c>
    </row>
    <row r="144" ht="12.75">
      <c r="A144" s="9" t="s">
        <v>168</v>
      </c>
    </row>
    <row r="145" ht="12.75">
      <c r="A145" s="11" t="s">
        <v>169</v>
      </c>
    </row>
    <row r="146" ht="12.75">
      <c r="A146" s="9" t="s">
        <v>122</v>
      </c>
    </row>
    <row r="147" ht="12.75">
      <c r="A147" s="9" t="s">
        <v>140</v>
      </c>
    </row>
    <row r="148" ht="12.75">
      <c r="A148" s="9" t="s">
        <v>123</v>
      </c>
    </row>
    <row r="149" ht="12.75">
      <c r="A149" s="9" t="s">
        <v>124</v>
      </c>
    </row>
    <row r="150" ht="12.75">
      <c r="A150" s="9" t="s">
        <v>125</v>
      </c>
    </row>
  </sheetData>
  <sheetProtection/>
  <hyperlinks>
    <hyperlink ref="E1" r:id="rId1" display="http://www.x-eng.com"/>
    <hyperlink ref="F4" r:id="rId2" display="magnus@x-eng.com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Vegyes kapcsolású tvelőmelegítő</dc:title>
  <dc:subject>Erőművek gyakorlat</dc:subject>
  <dc:creator>Györke Gábor</dc:creator>
  <cp:keywords>Erőművek</cp:keywords>
  <dc:description/>
  <cp:lastModifiedBy>Botond</cp:lastModifiedBy>
  <dcterms:created xsi:type="dcterms:W3CDTF">1996-10-14T23:33:28Z</dcterms:created>
  <dcterms:modified xsi:type="dcterms:W3CDTF">2019-11-08T13:27:02Z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